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125" windowWidth="19440" windowHeight="8895" tabRatio="880" activeTab="6"/>
  </bookViews>
  <sheets>
    <sheet name="Bieu so 48" sheetId="48" r:id="rId1"/>
    <sheet name="Bieu so 49" sheetId="49" r:id="rId2"/>
    <sheet name="Bieu so 50" sheetId="50" r:id="rId3"/>
    <sheet name="Bieu so 51" sheetId="51" r:id="rId4"/>
    <sheet name="Bieu so 52" sheetId="52" r:id="rId5"/>
    <sheet name="Bieu so 53" sheetId="53" r:id="rId6"/>
    <sheet name="Bieu so 54" sheetId="54" r:id="rId7"/>
    <sheet name="Bieu so 58" sheetId="58" r:id="rId8"/>
    <sheet name="Bieu so 59" sheetId="67" r:id="rId9"/>
    <sheet name="Bieu so 60" sheetId="60" r:id="rId10"/>
    <sheet name="Bieu so 61" sheetId="61" r:id="rId11"/>
    <sheet name="Bieu so 64" sheetId="68" r:id="rId12"/>
  </sheets>
  <definedNames>
    <definedName name="chuong_phuluc_48" localSheetId="0">'Bieu so 48'!$F$2</definedName>
    <definedName name="chuong_phuluc_48_name" localSheetId="0">'Bieu so 48'!$A$3</definedName>
    <definedName name="chuong_phuluc_49" localSheetId="1">'Bieu so 49'!$E$1</definedName>
    <definedName name="chuong_phuluc_49_name" localSheetId="1">'Bieu so 49'!$A$3</definedName>
    <definedName name="chuong_phuluc_50" localSheetId="2">'Bieu so 50'!$H$1</definedName>
    <definedName name="chuong_phuluc_50_name" localSheetId="2">'Bieu so 50'!$A$2</definedName>
    <definedName name="chuong_phuluc_51" localSheetId="3">'Bieu so 51'!$E$1</definedName>
    <definedName name="chuong_phuluc_51_name" localSheetId="3">'Bieu so 51'!$A$3</definedName>
    <definedName name="chuong_phuluc_52" localSheetId="4">'Bieu so 52'!$F$1</definedName>
    <definedName name="chuong_phuluc_52_name" localSheetId="4">'Bieu so 52'!$A$3</definedName>
    <definedName name="chuong_phuluc_53" localSheetId="5">'Bieu so 53'!$K$1</definedName>
    <definedName name="chuong_phuluc_53_name" localSheetId="5">'Bieu so 53'!$A$3</definedName>
    <definedName name="chuong_phuluc_54" localSheetId="6">'Bieu so 54'!$Z$1</definedName>
    <definedName name="chuong_phuluc_54_name" localSheetId="6">'Bieu so 54'!$A$2</definedName>
    <definedName name="chuong_phuluc_58" localSheetId="7">'Bieu so 58'!$S$1</definedName>
    <definedName name="chuong_phuluc_58_name" localSheetId="7">'Bieu so 58'!$A$3</definedName>
    <definedName name="chuong_phuluc_60" localSheetId="9">'Bieu so 60'!$G$1</definedName>
    <definedName name="chuong_phuluc_60_name" localSheetId="9">'Bieu so 60'!$A$3</definedName>
    <definedName name="chuong_phuluc_61" localSheetId="10">'Bieu so 61'!$U$1</definedName>
    <definedName name="chuong_phuluc_61_name" localSheetId="10">'Bieu so 61'!$A$3</definedName>
    <definedName name="_xlnm.Print_Titles" localSheetId="2">'Bieu so 50'!$7:$9</definedName>
    <definedName name="_xlnm.Print_Titles" localSheetId="3">'Bieu so 51'!$7:$7</definedName>
    <definedName name="_xlnm.Print_Titles" localSheetId="5">'Bieu so 53'!$7:$9</definedName>
    <definedName name="_xlnm.Print_Titles" localSheetId="6">'Bieu so 54'!$6:$9</definedName>
    <definedName name="_xlnm.Print_Titles" localSheetId="10">'Bieu so 61'!$7:$12</definedName>
  </definedNames>
  <calcPr calcId="144525"/>
</workbook>
</file>

<file path=xl/calcChain.xml><?xml version="1.0" encoding="utf-8"?>
<calcChain xmlns="http://schemas.openxmlformats.org/spreadsheetml/2006/main">
  <c r="C10" i="51" l="1"/>
  <c r="J13" i="58" l="1"/>
  <c r="D49" i="52" l="1"/>
  <c r="E36" i="48" l="1"/>
  <c r="E40" i="68" l="1"/>
  <c r="E39" i="68"/>
  <c r="E38" i="68"/>
  <c r="E37" i="68"/>
  <c r="E36" i="68"/>
  <c r="E35" i="68"/>
  <c r="E34" i="68"/>
  <c r="E33" i="68"/>
  <c r="E32" i="68"/>
  <c r="E31" i="68"/>
  <c r="D30" i="68"/>
  <c r="D10" i="68" s="1"/>
  <c r="C30" i="68"/>
  <c r="E29" i="68"/>
  <c r="E28" i="68"/>
  <c r="E27" i="68"/>
  <c r="E26" i="68" s="1"/>
  <c r="D26" i="68"/>
  <c r="C26" i="68"/>
  <c r="E25" i="68"/>
  <c r="E24" i="68"/>
  <c r="E23" i="68"/>
  <c r="E22" i="68" s="1"/>
  <c r="E21" i="68" s="1"/>
  <c r="D22" i="68"/>
  <c r="C22" i="68"/>
  <c r="C21" i="68" s="1"/>
  <c r="D21" i="68"/>
  <c r="E20" i="68"/>
  <c r="E19" i="68"/>
  <c r="E18" i="68"/>
  <c r="E17" i="68" s="1"/>
  <c r="D17" i="68"/>
  <c r="C17" i="68"/>
  <c r="E16" i="68"/>
  <c r="E15" i="68"/>
  <c r="E14" i="68"/>
  <c r="E13" i="68" s="1"/>
  <c r="E12" i="68" s="1"/>
  <c r="D13" i="68"/>
  <c r="C13" i="68"/>
  <c r="C12" i="68" s="1"/>
  <c r="C10" i="68"/>
  <c r="E10" i="68" l="1"/>
  <c r="E30" i="68"/>
  <c r="D12" i="68"/>
  <c r="D19" i="60"/>
  <c r="C19" i="60"/>
  <c r="E10" i="60"/>
  <c r="F10" i="60"/>
  <c r="G10" i="60"/>
  <c r="H10" i="60"/>
  <c r="I10" i="60"/>
  <c r="D20" i="60" l="1"/>
  <c r="D18" i="60"/>
  <c r="C18" i="60"/>
  <c r="D16" i="60"/>
  <c r="C16" i="60"/>
  <c r="D14" i="60"/>
  <c r="C14" i="60"/>
  <c r="C20" i="60" l="1"/>
  <c r="D17" i="60"/>
  <c r="C17" i="60"/>
  <c r="D15" i="60"/>
  <c r="C15" i="60"/>
  <c r="D13" i="60"/>
  <c r="C13" i="60"/>
  <c r="D12" i="60"/>
  <c r="C12" i="60" l="1"/>
  <c r="D11" i="60"/>
  <c r="D10" i="60" s="1"/>
  <c r="C11" i="60"/>
  <c r="C10" i="60" s="1"/>
  <c r="J14" i="58" l="1"/>
  <c r="J22" i="58"/>
  <c r="J15" i="58"/>
  <c r="J16" i="58"/>
  <c r="J17" i="58"/>
  <c r="J18" i="58"/>
  <c r="J19" i="58"/>
  <c r="J20" i="58"/>
  <c r="J21" i="58"/>
  <c r="H21" i="58"/>
  <c r="G22" i="58"/>
  <c r="G21" i="58"/>
  <c r="G20" i="58"/>
  <c r="G19" i="58"/>
  <c r="G18" i="58"/>
  <c r="G17" i="58"/>
  <c r="G16" i="58"/>
  <c r="G15" i="58"/>
  <c r="G14" i="58"/>
  <c r="G13" i="58"/>
  <c r="E13" i="58"/>
  <c r="E22" i="58"/>
  <c r="E21" i="58"/>
  <c r="E20" i="58"/>
  <c r="E19" i="58"/>
  <c r="E18" i="58"/>
  <c r="E17" i="58"/>
  <c r="E16" i="58"/>
  <c r="E15" i="58"/>
  <c r="E14" i="58"/>
  <c r="N60" i="54" l="1"/>
  <c r="H77" i="53" l="1"/>
  <c r="H76" i="53"/>
  <c r="H22" i="53"/>
  <c r="H12" i="53"/>
  <c r="G12" i="53"/>
  <c r="F52" i="50" l="1"/>
  <c r="F81" i="50"/>
  <c r="F80" i="50"/>
  <c r="F79" i="50"/>
  <c r="F62" i="50"/>
  <c r="F61" i="50"/>
  <c r="F60" i="50"/>
  <c r="F54" i="50"/>
  <c r="F53" i="50"/>
  <c r="F51" i="50"/>
  <c r="F50" i="50"/>
  <c r="F47" i="50"/>
  <c r="F48" i="50"/>
  <c r="F46" i="50"/>
  <c r="F44" i="50" l="1"/>
  <c r="F40" i="50"/>
  <c r="F37" i="50"/>
  <c r="F36" i="50"/>
  <c r="F35" i="50"/>
  <c r="F34" i="50"/>
  <c r="D47" i="50"/>
  <c r="D44" i="49" l="1"/>
  <c r="D40" i="49"/>
  <c r="D37" i="49"/>
  <c r="D32" i="49"/>
  <c r="D36" i="49"/>
  <c r="D35" i="49"/>
  <c r="D34" i="49"/>
  <c r="D22" i="49"/>
  <c r="D11" i="49"/>
  <c r="C35" i="49"/>
  <c r="C33" i="49" s="1"/>
  <c r="C25" i="49"/>
  <c r="C14" i="49"/>
  <c r="C11" i="49"/>
  <c r="D11" i="48" l="1"/>
  <c r="D25" i="48"/>
  <c r="D33" i="48"/>
  <c r="C24" i="48"/>
  <c r="C33" i="48"/>
  <c r="E30" i="48"/>
  <c r="C16" i="48"/>
  <c r="D11" i="51" l="1"/>
  <c r="D36" i="51" l="1"/>
  <c r="C36" i="51" l="1"/>
  <c r="E52" i="52"/>
  <c r="C43" i="52"/>
  <c r="C33" i="52"/>
  <c r="D13" i="52"/>
  <c r="O61" i="54" l="1"/>
  <c r="O16" i="54"/>
  <c r="O21" i="54"/>
  <c r="W10" i="54" l="1"/>
  <c r="M67" i="54"/>
  <c r="O60" i="54" l="1"/>
  <c r="O37" i="54"/>
  <c r="O36" i="54"/>
  <c r="O55" i="54"/>
  <c r="O34" i="54"/>
  <c r="O35" i="54"/>
  <c r="O38" i="54"/>
  <c r="O53" i="54"/>
  <c r="O57" i="54"/>
  <c r="O56" i="54"/>
  <c r="O41" i="54"/>
  <c r="O49" i="54"/>
  <c r="O42" i="54"/>
  <c r="O31" i="54"/>
  <c r="O30" i="54"/>
  <c r="O22" i="54"/>
  <c r="O19" i="54"/>
  <c r="O18" i="54"/>
  <c r="O14" i="54"/>
  <c r="O32" i="54"/>
  <c r="O13" i="54"/>
  <c r="O59" i="54"/>
  <c r="O44" i="54"/>
  <c r="O28" i="54"/>
  <c r="O25" i="54"/>
  <c r="O23" i="54"/>
  <c r="O20" i="54"/>
  <c r="O17" i="54"/>
  <c r="E31" i="54"/>
  <c r="C64" i="54"/>
  <c r="H10" i="54"/>
  <c r="K10" i="54"/>
  <c r="J10" i="54"/>
  <c r="I10" i="54"/>
  <c r="E61" i="54"/>
  <c r="E30" i="54"/>
  <c r="C68" i="54"/>
  <c r="C63" i="54"/>
  <c r="C62" i="54"/>
  <c r="L10" i="54"/>
  <c r="F11" i="54"/>
  <c r="G61" i="54"/>
  <c r="G11" i="54" s="1"/>
  <c r="E60" i="54"/>
  <c r="T11" i="54"/>
  <c r="R14" i="54"/>
  <c r="U119" i="61"/>
  <c r="C119" i="61"/>
  <c r="E62" i="61" l="1"/>
  <c r="S132" i="61"/>
  <c r="D20" i="61"/>
  <c r="S20" i="61"/>
  <c r="V133" i="61"/>
  <c r="S133" i="61"/>
  <c r="V127" i="61"/>
  <c r="V136" i="61"/>
  <c r="V135" i="61"/>
  <c r="V134" i="61"/>
  <c r="V132" i="61"/>
  <c r="V130" i="61"/>
  <c r="V129" i="61"/>
  <c r="V128" i="61"/>
  <c r="S135" i="61"/>
  <c r="S134" i="61"/>
  <c r="S131" i="61"/>
  <c r="S130" i="61"/>
  <c r="S129" i="61"/>
  <c r="S128" i="61"/>
  <c r="S136" i="61"/>
  <c r="S127" i="61"/>
  <c r="E136" i="61" l="1"/>
  <c r="E135" i="61"/>
  <c r="E134" i="61"/>
  <c r="E133" i="61"/>
  <c r="E132" i="61"/>
  <c r="E131" i="61"/>
  <c r="E130" i="61"/>
  <c r="E129" i="61"/>
  <c r="E128" i="61"/>
  <c r="E127" i="61"/>
  <c r="D135" i="61"/>
  <c r="D133" i="61"/>
  <c r="D131" i="61"/>
  <c r="D130" i="61"/>
  <c r="D129" i="61"/>
  <c r="D128" i="61"/>
  <c r="D127" i="61"/>
  <c r="G11" i="53" l="1"/>
  <c r="H11" i="53"/>
  <c r="F77" i="53"/>
  <c r="H63" i="50"/>
  <c r="H64" i="50"/>
  <c r="H65" i="50"/>
  <c r="G63" i="50"/>
  <c r="G64" i="50"/>
  <c r="G65" i="50"/>
  <c r="R136" i="61" l="1"/>
  <c r="P136" i="61" s="1"/>
  <c r="R135" i="61"/>
  <c r="P135" i="61" s="1"/>
  <c r="R134" i="61"/>
  <c r="P134" i="61" s="1"/>
  <c r="R133" i="61"/>
  <c r="P133" i="61" s="1"/>
  <c r="D31" i="48" l="1"/>
  <c r="F34" i="53"/>
  <c r="F33" i="53"/>
  <c r="G32" i="53"/>
  <c r="H32" i="53"/>
  <c r="E51" i="52"/>
  <c r="D30" i="51"/>
  <c r="D29" i="51" s="1"/>
  <c r="D10" i="51"/>
  <c r="F32" i="53" l="1"/>
  <c r="V10" i="54" l="1"/>
  <c r="AD61" i="54"/>
  <c r="AD59" i="54"/>
  <c r="M66" i="54" l="1"/>
  <c r="X10" i="54"/>
  <c r="M65" i="54"/>
  <c r="M21" i="54"/>
  <c r="S11" i="54"/>
  <c r="S10" i="54" s="1"/>
  <c r="M40" i="54"/>
  <c r="M43" i="54"/>
  <c r="M51" i="54"/>
  <c r="M52" i="54"/>
  <c r="M58" i="54"/>
  <c r="M61" i="54"/>
  <c r="M37" i="54"/>
  <c r="M36" i="54"/>
  <c r="M39" i="54"/>
  <c r="M55" i="54"/>
  <c r="M34" i="54"/>
  <c r="M35" i="54"/>
  <c r="M38" i="54"/>
  <c r="M33" i="54"/>
  <c r="M53" i="54"/>
  <c r="M57" i="54"/>
  <c r="M56" i="54"/>
  <c r="M41" i="54"/>
  <c r="M49" i="54"/>
  <c r="M50" i="54"/>
  <c r="M42" i="54"/>
  <c r="M54" i="54"/>
  <c r="M48" i="54"/>
  <c r="M47" i="54"/>
  <c r="M46" i="54"/>
  <c r="M27" i="54"/>
  <c r="M26" i="54"/>
  <c r="M24" i="54"/>
  <c r="M22" i="54"/>
  <c r="M18" i="54"/>
  <c r="M16" i="54"/>
  <c r="M15" i="54"/>
  <c r="M14" i="54"/>
  <c r="M19" i="54"/>
  <c r="M45" i="54" l="1"/>
  <c r="N11" i="54"/>
  <c r="D41" i="48" l="1"/>
  <c r="R20" i="61" l="1"/>
  <c r="R120" i="61"/>
  <c r="P120" i="61" s="1"/>
  <c r="U118" i="61"/>
  <c r="C118" i="61"/>
  <c r="C61" i="61"/>
  <c r="U61" i="61"/>
  <c r="Q61" i="61" s="1"/>
  <c r="O61" i="61" s="1"/>
  <c r="V62" i="61"/>
  <c r="S14" i="61"/>
  <c r="D14" i="61"/>
  <c r="G14" i="67"/>
  <c r="G15" i="67"/>
  <c r="G16" i="67"/>
  <c r="G17" i="67"/>
  <c r="G18" i="67"/>
  <c r="G19" i="67"/>
  <c r="G20" i="67"/>
  <c r="G21" i="67"/>
  <c r="G22" i="67"/>
  <c r="G13" i="67"/>
  <c r="O14" i="67"/>
  <c r="O15" i="67"/>
  <c r="O16" i="67"/>
  <c r="O17" i="67"/>
  <c r="O18" i="67"/>
  <c r="O19" i="67"/>
  <c r="O20" i="67"/>
  <c r="O21" i="67"/>
  <c r="O22" i="67"/>
  <c r="O13" i="67"/>
  <c r="C125" i="61" l="1"/>
  <c r="C38" i="53" l="1"/>
  <c r="C34" i="53"/>
  <c r="C33" i="53"/>
  <c r="C26" i="53"/>
  <c r="C30" i="51"/>
  <c r="D45" i="50"/>
  <c r="D41" i="50"/>
  <c r="C41" i="50"/>
  <c r="E11" i="54" l="1"/>
  <c r="Q10" i="54"/>
  <c r="M16" i="67" l="1"/>
  <c r="C41" i="48" l="1"/>
  <c r="O11" i="54" l="1"/>
  <c r="X13" i="67" l="1"/>
  <c r="D12" i="67" l="1"/>
  <c r="F12" i="67"/>
  <c r="H12" i="67"/>
  <c r="I12" i="67"/>
  <c r="J12" i="67"/>
  <c r="L12" i="67"/>
  <c r="N12" i="67"/>
  <c r="P12" i="67"/>
  <c r="Q12" i="67"/>
  <c r="R12" i="67"/>
  <c r="G12" i="67"/>
  <c r="O12" i="67"/>
  <c r="Y13" i="67"/>
  <c r="Z13" i="67"/>
  <c r="E14" i="67"/>
  <c r="C14" i="67" s="1"/>
  <c r="M14" i="67"/>
  <c r="T14" i="67"/>
  <c r="W14" i="67"/>
  <c r="X14" i="67"/>
  <c r="Y14" i="67"/>
  <c r="Z14" i="67"/>
  <c r="E15" i="67"/>
  <c r="C15" i="67" s="1"/>
  <c r="M15" i="67"/>
  <c r="K15" i="67" s="1"/>
  <c r="T15" i="67"/>
  <c r="W15" i="67"/>
  <c r="X15" i="67"/>
  <c r="Y15" i="67"/>
  <c r="Z15" i="67"/>
  <c r="E16" i="67"/>
  <c r="K16" i="67"/>
  <c r="T16" i="67"/>
  <c r="X16" i="67"/>
  <c r="Y16" i="67"/>
  <c r="Z16" i="67"/>
  <c r="E17" i="67"/>
  <c r="C17" i="67" s="1"/>
  <c r="M17" i="67"/>
  <c r="T17" i="67"/>
  <c r="X17" i="67"/>
  <c r="Y17" i="67"/>
  <c r="Z17" i="67"/>
  <c r="E18" i="67"/>
  <c r="C18" i="67" s="1"/>
  <c r="M18" i="67"/>
  <c r="T18" i="67"/>
  <c r="X18" i="67"/>
  <c r="Y18" i="67"/>
  <c r="Z18" i="67"/>
  <c r="E19" i="67"/>
  <c r="C19" i="67" s="1"/>
  <c r="M19" i="67"/>
  <c r="K19" i="67" s="1"/>
  <c r="T19" i="67"/>
  <c r="W19" i="67"/>
  <c r="X19" i="67"/>
  <c r="Y19" i="67"/>
  <c r="Z19" i="67"/>
  <c r="E20" i="67"/>
  <c r="M20" i="67"/>
  <c r="K20" i="67" s="1"/>
  <c r="T20" i="67"/>
  <c r="X20" i="67"/>
  <c r="Y20" i="67"/>
  <c r="Z20" i="67"/>
  <c r="T12" i="67" l="1"/>
  <c r="Z12" i="67"/>
  <c r="Y12" i="67"/>
  <c r="U15" i="67"/>
  <c r="X12" i="67"/>
  <c r="S19" i="67"/>
  <c r="S15" i="67"/>
  <c r="W12" i="67"/>
  <c r="K17" i="67"/>
  <c r="S17" i="67" s="1"/>
  <c r="U17" i="67"/>
  <c r="U18" i="67"/>
  <c r="K18" i="67"/>
  <c r="S18" i="67" s="1"/>
  <c r="C16" i="67"/>
  <c r="S16" i="67" s="1"/>
  <c r="U16" i="67"/>
  <c r="C20" i="67"/>
  <c r="S20" i="67" s="1"/>
  <c r="U20" i="67"/>
  <c r="U14" i="67"/>
  <c r="K14" i="67"/>
  <c r="S14" i="67" s="1"/>
  <c r="W20" i="67"/>
  <c r="W16" i="67"/>
  <c r="M13" i="67"/>
  <c r="U19" i="67"/>
  <c r="W18" i="67"/>
  <c r="W17" i="67"/>
  <c r="W13" i="67"/>
  <c r="E13" i="67"/>
  <c r="C13" i="67" l="1"/>
  <c r="K13" i="67"/>
  <c r="U13" i="67"/>
  <c r="S13" i="67" l="1"/>
  <c r="K26" i="53" l="1"/>
  <c r="J25" i="53"/>
  <c r="J26" i="53"/>
  <c r="E24" i="51" l="1"/>
  <c r="F25" i="53"/>
  <c r="F26" i="53"/>
  <c r="I26" i="53" s="1"/>
  <c r="K24" i="53" l="1"/>
  <c r="J24" i="53"/>
  <c r="E26" i="51" l="1"/>
  <c r="E25" i="51"/>
  <c r="K22" i="53" l="1"/>
  <c r="D32" i="53" l="1"/>
  <c r="C32" i="53" s="1"/>
  <c r="D9" i="51" l="1"/>
  <c r="R98" i="61" l="1"/>
  <c r="U120" i="61" l="1"/>
  <c r="Q120" i="61" s="1"/>
  <c r="O120" i="61" s="1"/>
  <c r="F33" i="48" l="1"/>
  <c r="C120" i="61" l="1"/>
  <c r="F28" i="53" l="1"/>
  <c r="D11" i="53"/>
  <c r="C27" i="53"/>
  <c r="F45" i="52"/>
  <c r="F11" i="53" l="1"/>
  <c r="F44" i="52"/>
  <c r="F10" i="54" l="1"/>
  <c r="E10" i="54" l="1"/>
  <c r="C31" i="48" l="1"/>
  <c r="C23" i="48" s="1"/>
  <c r="G67" i="50" l="1"/>
  <c r="G66" i="50"/>
  <c r="G62" i="50"/>
  <c r="H62" i="50"/>
  <c r="G61" i="50"/>
  <c r="H61" i="50"/>
  <c r="H60" i="50"/>
  <c r="G60" i="50"/>
  <c r="F55" i="50"/>
  <c r="H55" i="50" s="1"/>
  <c r="E55" i="50"/>
  <c r="G55" i="50" s="1"/>
  <c r="H54" i="50"/>
  <c r="G54" i="50"/>
  <c r="G53" i="50"/>
  <c r="H53" i="50"/>
  <c r="G52" i="50"/>
  <c r="H52" i="50"/>
  <c r="H51" i="50"/>
  <c r="G51" i="50"/>
  <c r="H50" i="50"/>
  <c r="G50" i="50"/>
  <c r="F45" i="50"/>
  <c r="E45" i="50"/>
  <c r="C45" i="50"/>
  <c r="H44" i="50"/>
  <c r="G44" i="50"/>
  <c r="G41" i="50"/>
  <c r="H40" i="50"/>
  <c r="G40" i="50"/>
  <c r="F33" i="50"/>
  <c r="E33" i="50"/>
  <c r="D33" i="50"/>
  <c r="C33" i="50"/>
  <c r="F26" i="50"/>
  <c r="E26" i="50"/>
  <c r="D26" i="50"/>
  <c r="C26" i="50"/>
  <c r="F19" i="50"/>
  <c r="E19" i="50"/>
  <c r="D19" i="50"/>
  <c r="C19" i="50"/>
  <c r="F13" i="50"/>
  <c r="F12" i="50" s="1"/>
  <c r="E13" i="50"/>
  <c r="E12" i="50" s="1"/>
  <c r="E11" i="50" s="1"/>
  <c r="D13" i="50"/>
  <c r="C13" i="50"/>
  <c r="D12" i="50" l="1"/>
  <c r="D11" i="50" s="1"/>
  <c r="D10" i="50" s="1"/>
  <c r="C12" i="50"/>
  <c r="C11" i="50" s="1"/>
  <c r="C10" i="50" s="1"/>
  <c r="F11" i="50"/>
  <c r="G45" i="50"/>
  <c r="G26" i="50"/>
  <c r="G19" i="50"/>
  <c r="H45" i="50"/>
  <c r="H41" i="50"/>
  <c r="H33" i="50"/>
  <c r="H26" i="50"/>
  <c r="H19" i="50"/>
  <c r="H13" i="50"/>
  <c r="G33" i="50"/>
  <c r="G13" i="50"/>
  <c r="G12" i="50" l="1"/>
  <c r="H12" i="50"/>
  <c r="E10" i="50"/>
  <c r="G10" i="50" s="1"/>
  <c r="G11" i="50"/>
  <c r="E23" i="51"/>
  <c r="E22" i="51"/>
  <c r="E13" i="52"/>
  <c r="E50" i="52"/>
  <c r="E49" i="52"/>
  <c r="E48" i="52"/>
  <c r="E45" i="52"/>
  <c r="E46" i="52"/>
  <c r="E44" i="52"/>
  <c r="F32" i="52"/>
  <c r="F33" i="52"/>
  <c r="F34" i="52"/>
  <c r="F35" i="52"/>
  <c r="F36" i="52"/>
  <c r="F37" i="52"/>
  <c r="F38" i="52"/>
  <c r="F39" i="52"/>
  <c r="F40" i="52"/>
  <c r="F41" i="52"/>
  <c r="F42" i="52"/>
  <c r="F43" i="52"/>
  <c r="F31" i="52"/>
  <c r="E32" i="52"/>
  <c r="E33" i="52"/>
  <c r="E34" i="52"/>
  <c r="E35" i="52"/>
  <c r="E36" i="52"/>
  <c r="E37" i="52"/>
  <c r="E38" i="52"/>
  <c r="E39" i="52"/>
  <c r="E40" i="52"/>
  <c r="E41" i="52"/>
  <c r="E42" i="52"/>
  <c r="E43" i="52"/>
  <c r="E31" i="52"/>
  <c r="E18" i="48"/>
  <c r="E19" i="48"/>
  <c r="E20" i="48"/>
  <c r="E21" i="48"/>
  <c r="E22" i="48"/>
  <c r="E17" i="48"/>
  <c r="E35" i="48"/>
  <c r="E34" i="48"/>
  <c r="E47" i="52" l="1"/>
  <c r="E30" i="52"/>
  <c r="H11" i="50"/>
  <c r="F10" i="50"/>
  <c r="H10" i="50" s="1"/>
  <c r="Z22" i="67"/>
  <c r="Y22" i="67"/>
  <c r="X22" i="67"/>
  <c r="T22" i="67"/>
  <c r="M22" i="67"/>
  <c r="E22" i="67"/>
  <c r="C22" i="67" s="1"/>
  <c r="Z21" i="67"/>
  <c r="Y21" i="67"/>
  <c r="X21" i="67"/>
  <c r="T21" i="67"/>
  <c r="E21" i="67"/>
  <c r="E12" i="52" l="1"/>
  <c r="C21" i="67"/>
  <c r="C12" i="67" s="1"/>
  <c r="E12" i="67"/>
  <c r="W21" i="67"/>
  <c r="U22" i="67"/>
  <c r="K22" i="67"/>
  <c r="S22" i="67" s="1"/>
  <c r="W22" i="67"/>
  <c r="M21" i="67"/>
  <c r="M12" i="67" s="1"/>
  <c r="U12" i="67" l="1"/>
  <c r="U21" i="67"/>
  <c r="K21" i="67"/>
  <c r="M13" i="54"/>
  <c r="C61" i="54"/>
  <c r="R20" i="54"/>
  <c r="M20" i="54" s="1"/>
  <c r="R23" i="54"/>
  <c r="M23" i="54" s="1"/>
  <c r="R25" i="54"/>
  <c r="M25" i="54" s="1"/>
  <c r="R28" i="54"/>
  <c r="M28" i="54" s="1"/>
  <c r="R29" i="54"/>
  <c r="M29" i="54" s="1"/>
  <c r="R30" i="54"/>
  <c r="M30" i="54" s="1"/>
  <c r="R31" i="54"/>
  <c r="M31" i="54" s="1"/>
  <c r="R32" i="54"/>
  <c r="M32" i="54" s="1"/>
  <c r="R44" i="54"/>
  <c r="M44" i="54" s="1"/>
  <c r="R59" i="54"/>
  <c r="M59" i="54" s="1"/>
  <c r="R60" i="54"/>
  <c r="M60" i="54" s="1"/>
  <c r="R17" i="54"/>
  <c r="M17" i="54" s="1"/>
  <c r="M12" i="54"/>
  <c r="C13" i="54"/>
  <c r="C14" i="54"/>
  <c r="C15" i="54"/>
  <c r="C16" i="54"/>
  <c r="C17" i="54"/>
  <c r="C18" i="54"/>
  <c r="C19" i="54"/>
  <c r="C20" i="54"/>
  <c r="C21" i="54"/>
  <c r="C22" i="54"/>
  <c r="C23" i="54"/>
  <c r="C24" i="54"/>
  <c r="C25" i="54"/>
  <c r="C26" i="54"/>
  <c r="C27" i="54"/>
  <c r="C28" i="54"/>
  <c r="C29" i="54"/>
  <c r="C30" i="54"/>
  <c r="C31" i="54"/>
  <c r="C32" i="54"/>
  <c r="C33" i="54"/>
  <c r="C34" i="54"/>
  <c r="C35" i="54"/>
  <c r="C36" i="54"/>
  <c r="C37" i="54"/>
  <c r="C38" i="54"/>
  <c r="C39" i="54"/>
  <c r="C40" i="54"/>
  <c r="C41" i="54"/>
  <c r="C42" i="54"/>
  <c r="C43" i="54"/>
  <c r="C44" i="54"/>
  <c r="C45" i="54"/>
  <c r="C46" i="54"/>
  <c r="C47" i="54"/>
  <c r="C48" i="54"/>
  <c r="C49" i="54"/>
  <c r="C50" i="54"/>
  <c r="C51" i="54"/>
  <c r="C52" i="54"/>
  <c r="C53" i="54"/>
  <c r="C54" i="54"/>
  <c r="C55" i="54"/>
  <c r="C56" i="54"/>
  <c r="C57" i="54"/>
  <c r="C58" i="54"/>
  <c r="C59" i="54"/>
  <c r="C60" i="54"/>
  <c r="C12" i="54"/>
  <c r="S21" i="67" l="1"/>
  <c r="K12" i="67"/>
  <c r="S12" i="67" s="1"/>
  <c r="E32" i="51" l="1"/>
  <c r="E31" i="51"/>
  <c r="F13" i="48" l="1"/>
  <c r="F12" i="48"/>
  <c r="E13" i="48"/>
  <c r="E12" i="48"/>
  <c r="P12" i="58" l="1"/>
  <c r="O12" i="58"/>
  <c r="N12" i="58"/>
  <c r="L12" i="58"/>
  <c r="K12" i="58"/>
  <c r="J12" i="58"/>
  <c r="G12" i="58"/>
  <c r="H12" i="58"/>
  <c r="E11" i="51" l="1"/>
  <c r="M14" i="58" l="1"/>
  <c r="F14" i="58" s="1"/>
  <c r="M15" i="58"/>
  <c r="F15" i="58" s="1"/>
  <c r="M16" i="58"/>
  <c r="F16" i="58" s="1"/>
  <c r="M17" i="58"/>
  <c r="F17" i="58" s="1"/>
  <c r="M18" i="58"/>
  <c r="F18" i="58" s="1"/>
  <c r="M19" i="58"/>
  <c r="F19" i="58" s="1"/>
  <c r="M20" i="58"/>
  <c r="F20" i="58" s="1"/>
  <c r="M21" i="58"/>
  <c r="F21" i="58" s="1"/>
  <c r="M22" i="58"/>
  <c r="F22" i="58" s="1"/>
  <c r="M13" i="58"/>
  <c r="M12" i="58" l="1"/>
  <c r="F13" i="58"/>
  <c r="F12" i="58" s="1"/>
  <c r="U136" i="61"/>
  <c r="Q136" i="61" s="1"/>
  <c r="O136" i="61" s="1"/>
  <c r="C136" i="61"/>
  <c r="U135" i="61"/>
  <c r="Q135" i="61" s="1"/>
  <c r="O135" i="61" s="1"/>
  <c r="C135" i="61"/>
  <c r="U134" i="61"/>
  <c r="Q134" i="61" s="1"/>
  <c r="O134" i="61" s="1"/>
  <c r="C134" i="61"/>
  <c r="U133" i="61"/>
  <c r="Q133" i="61" s="1"/>
  <c r="O133" i="61" s="1"/>
  <c r="N133" i="61"/>
  <c r="N126" i="61" s="1"/>
  <c r="U132" i="61"/>
  <c r="Q132" i="61" s="1"/>
  <c r="R132" i="61"/>
  <c r="P132" i="61" s="1"/>
  <c r="C132" i="61"/>
  <c r="U131" i="61"/>
  <c r="Q131" i="61" s="1"/>
  <c r="R131" i="61"/>
  <c r="P131" i="61" s="1"/>
  <c r="C131" i="61"/>
  <c r="U130" i="61"/>
  <c r="Q130" i="61" s="1"/>
  <c r="R130" i="61"/>
  <c r="P130" i="61" s="1"/>
  <c r="C130" i="61"/>
  <c r="U129" i="61"/>
  <c r="Q129" i="61" s="1"/>
  <c r="R129" i="61"/>
  <c r="P129" i="61" s="1"/>
  <c r="C129" i="61"/>
  <c r="U128" i="61"/>
  <c r="Q128" i="61" s="1"/>
  <c r="R128" i="61"/>
  <c r="P128" i="61" s="1"/>
  <c r="C128" i="61"/>
  <c r="U127" i="61"/>
  <c r="Q127" i="61" s="1"/>
  <c r="R127" i="61"/>
  <c r="P127" i="61" s="1"/>
  <c r="C127" i="61"/>
  <c r="AF126" i="61"/>
  <c r="AE126" i="61"/>
  <c r="AD126" i="61"/>
  <c r="AC126" i="61"/>
  <c r="AB126" i="61"/>
  <c r="AA126" i="61"/>
  <c r="Z126" i="61"/>
  <c r="Y126" i="61"/>
  <c r="X126" i="61"/>
  <c r="W126" i="61"/>
  <c r="T126" i="61"/>
  <c r="S126" i="61"/>
  <c r="S13" i="61" s="1"/>
  <c r="M126" i="61"/>
  <c r="L126" i="61"/>
  <c r="K126" i="61"/>
  <c r="J126" i="61"/>
  <c r="I126" i="61"/>
  <c r="H126" i="61"/>
  <c r="G126" i="61"/>
  <c r="F126" i="61"/>
  <c r="D126" i="61"/>
  <c r="D13" i="61" s="1"/>
  <c r="V124" i="61"/>
  <c r="U124" i="61" s="1"/>
  <c r="Q124" i="61" s="1"/>
  <c r="P124" i="61"/>
  <c r="AH124" i="61" s="1"/>
  <c r="E124" i="61"/>
  <c r="C124" i="61" s="1"/>
  <c r="V123" i="61"/>
  <c r="U123" i="61" s="1"/>
  <c r="Q123" i="61" s="1"/>
  <c r="P123" i="61"/>
  <c r="E123" i="61"/>
  <c r="C123" i="61" s="1"/>
  <c r="V122" i="61"/>
  <c r="U122" i="61" s="1"/>
  <c r="Q122" i="61" s="1"/>
  <c r="P122" i="61"/>
  <c r="AH122" i="61" s="1"/>
  <c r="E122" i="61"/>
  <c r="C122" i="61" s="1"/>
  <c r="V121" i="61"/>
  <c r="U121" i="61" s="1"/>
  <c r="Q121" i="61" s="1"/>
  <c r="P121" i="61"/>
  <c r="E121" i="61"/>
  <c r="C121" i="61" s="1"/>
  <c r="V117" i="61"/>
  <c r="U117" i="61" s="1"/>
  <c r="P117" i="61"/>
  <c r="E117" i="61"/>
  <c r="C117" i="61" s="1"/>
  <c r="AE116" i="61"/>
  <c r="AD116" i="61"/>
  <c r="AC116" i="61"/>
  <c r="AB116" i="61"/>
  <c r="AA116" i="61"/>
  <c r="Z116" i="61"/>
  <c r="Y116" i="61"/>
  <c r="X116" i="61"/>
  <c r="W116" i="61"/>
  <c r="U116" i="61"/>
  <c r="Q116" i="61" s="1"/>
  <c r="P116" i="61"/>
  <c r="N116" i="61"/>
  <c r="M116" i="61"/>
  <c r="L116" i="61"/>
  <c r="K116" i="61"/>
  <c r="J116" i="61"/>
  <c r="I116" i="61"/>
  <c r="H116" i="61"/>
  <c r="G116" i="61"/>
  <c r="F116" i="61"/>
  <c r="V115" i="61"/>
  <c r="U115" i="61" s="1"/>
  <c r="Q115" i="61" s="1"/>
  <c r="P115" i="61"/>
  <c r="E115" i="61"/>
  <c r="C115" i="61" s="1"/>
  <c r="V114" i="61"/>
  <c r="U114" i="61" s="1"/>
  <c r="Q114" i="61" s="1"/>
  <c r="P114" i="61"/>
  <c r="E114" i="61"/>
  <c r="C114" i="61" s="1"/>
  <c r="AE113" i="61"/>
  <c r="AD113" i="61"/>
  <c r="AC113" i="61"/>
  <c r="AB113" i="61"/>
  <c r="AA113" i="61"/>
  <c r="Z113" i="61"/>
  <c r="Y113" i="61"/>
  <c r="X113" i="61"/>
  <c r="W113" i="61"/>
  <c r="P113" i="61"/>
  <c r="N113" i="61"/>
  <c r="M113" i="61"/>
  <c r="L113" i="61"/>
  <c r="K113" i="61"/>
  <c r="J113" i="61"/>
  <c r="I113" i="61"/>
  <c r="H113" i="61"/>
  <c r="G113" i="61"/>
  <c r="F113" i="61"/>
  <c r="U112" i="61"/>
  <c r="Q112" i="61" s="1"/>
  <c r="P112" i="61"/>
  <c r="C112" i="61"/>
  <c r="V111" i="61"/>
  <c r="U111" i="61" s="1"/>
  <c r="Q111" i="61" s="1"/>
  <c r="P111" i="61"/>
  <c r="E111" i="61"/>
  <c r="C111" i="61" s="1"/>
  <c r="V110" i="61"/>
  <c r="U110" i="61" s="1"/>
  <c r="Q110" i="61" s="1"/>
  <c r="P110" i="61"/>
  <c r="E110" i="61"/>
  <c r="C110" i="61" s="1"/>
  <c r="V109" i="61"/>
  <c r="U109" i="61" s="1"/>
  <c r="Q109" i="61" s="1"/>
  <c r="P109" i="61"/>
  <c r="E109" i="61"/>
  <c r="C109" i="61" s="1"/>
  <c r="V108" i="61"/>
  <c r="U108" i="61" s="1"/>
  <c r="Q108" i="61" s="1"/>
  <c r="P108" i="61"/>
  <c r="E108" i="61"/>
  <c r="C108" i="61" s="1"/>
  <c r="AE107" i="61"/>
  <c r="AD107" i="61"/>
  <c r="AC107" i="61"/>
  <c r="AB107" i="61"/>
  <c r="AA107" i="61"/>
  <c r="Z107" i="61"/>
  <c r="Y107" i="61"/>
  <c r="X107" i="61"/>
  <c r="W107" i="61"/>
  <c r="P107" i="61"/>
  <c r="N107" i="61"/>
  <c r="M107" i="61"/>
  <c r="L107" i="61"/>
  <c r="K107" i="61"/>
  <c r="J107" i="61"/>
  <c r="I107" i="61"/>
  <c r="H107" i="61"/>
  <c r="G107" i="61"/>
  <c r="F107" i="61"/>
  <c r="V106" i="61"/>
  <c r="U106" i="61" s="1"/>
  <c r="Q106" i="61" s="1"/>
  <c r="P106" i="61"/>
  <c r="E106" i="61"/>
  <c r="C106" i="61" s="1"/>
  <c r="AE105" i="61"/>
  <c r="AD105" i="61"/>
  <c r="AC105" i="61"/>
  <c r="AB105" i="61"/>
  <c r="AA105" i="61"/>
  <c r="Z105" i="61"/>
  <c r="Y105" i="61"/>
  <c r="X105" i="61"/>
  <c r="W105" i="61"/>
  <c r="U105" i="61"/>
  <c r="Q105" i="61" s="1"/>
  <c r="P105" i="61"/>
  <c r="N105" i="61"/>
  <c r="M105" i="61"/>
  <c r="L105" i="61"/>
  <c r="K105" i="61"/>
  <c r="J105" i="61"/>
  <c r="I105" i="61"/>
  <c r="H105" i="61"/>
  <c r="G105" i="61"/>
  <c r="F105" i="61"/>
  <c r="V103" i="61"/>
  <c r="U103" i="61" s="1"/>
  <c r="Q103" i="61" s="1"/>
  <c r="P103" i="61"/>
  <c r="E103" i="61"/>
  <c r="C103" i="61" s="1"/>
  <c r="AE102" i="61"/>
  <c r="AD102" i="61"/>
  <c r="AC102" i="61"/>
  <c r="AB102" i="61"/>
  <c r="AA102" i="61"/>
  <c r="Z102" i="61"/>
  <c r="Y102" i="61"/>
  <c r="X102" i="61"/>
  <c r="W102" i="61"/>
  <c r="V102" i="61"/>
  <c r="U102" i="61" s="1"/>
  <c r="Q102" i="61" s="1"/>
  <c r="P102" i="61"/>
  <c r="N102" i="61"/>
  <c r="M102" i="61"/>
  <c r="L102" i="61"/>
  <c r="K102" i="61"/>
  <c r="J102" i="61"/>
  <c r="I102" i="61"/>
  <c r="H102" i="61"/>
  <c r="G102" i="61"/>
  <c r="F102" i="61"/>
  <c r="V101" i="61"/>
  <c r="U101" i="61" s="1"/>
  <c r="Q101" i="61" s="1"/>
  <c r="P101" i="61"/>
  <c r="E101" i="61"/>
  <c r="C101" i="61" s="1"/>
  <c r="V100" i="61"/>
  <c r="U100" i="61" s="1"/>
  <c r="Q100" i="61" s="1"/>
  <c r="P100" i="61"/>
  <c r="E100" i="61"/>
  <c r="C100" i="61" s="1"/>
  <c r="V99" i="61"/>
  <c r="U99" i="61" s="1"/>
  <c r="Q99" i="61" s="1"/>
  <c r="P99" i="61"/>
  <c r="E99" i="61"/>
  <c r="C99" i="61" s="1"/>
  <c r="AE98" i="61"/>
  <c r="AD98" i="61"/>
  <c r="AC98" i="61"/>
  <c r="AB98" i="61"/>
  <c r="AA98" i="61"/>
  <c r="Z98" i="61"/>
  <c r="Y98" i="61"/>
  <c r="X98" i="61"/>
  <c r="W98" i="61"/>
  <c r="P98" i="61"/>
  <c r="N98" i="61"/>
  <c r="M98" i="61"/>
  <c r="L98" i="61"/>
  <c r="K98" i="61"/>
  <c r="J98" i="61"/>
  <c r="I98" i="61"/>
  <c r="H98" i="61"/>
  <c r="G98" i="61"/>
  <c r="F98" i="61"/>
  <c r="C98" i="61"/>
  <c r="V97" i="61"/>
  <c r="U97" i="61" s="1"/>
  <c r="Q97" i="61" s="1"/>
  <c r="P97" i="61"/>
  <c r="E97" i="61"/>
  <c r="C97" i="61" s="1"/>
  <c r="V96" i="61"/>
  <c r="U96" i="61" s="1"/>
  <c r="Q96" i="61" s="1"/>
  <c r="P96" i="61"/>
  <c r="E96" i="61"/>
  <c r="C96" i="61" s="1"/>
  <c r="V95" i="61"/>
  <c r="U95" i="61" s="1"/>
  <c r="Q95" i="61" s="1"/>
  <c r="P95" i="61"/>
  <c r="E95" i="61"/>
  <c r="C95" i="61" s="1"/>
  <c r="AE94" i="61"/>
  <c r="AD94" i="61"/>
  <c r="AC94" i="61"/>
  <c r="AB94" i="61"/>
  <c r="AA94" i="61"/>
  <c r="Z94" i="61"/>
  <c r="Y94" i="61"/>
  <c r="X94" i="61"/>
  <c r="W94" i="61"/>
  <c r="U94" i="61"/>
  <c r="Q94" i="61" s="1"/>
  <c r="P94" i="61"/>
  <c r="N94" i="61"/>
  <c r="M94" i="61"/>
  <c r="L94" i="61"/>
  <c r="K94" i="61"/>
  <c r="J94" i="61"/>
  <c r="I94" i="61"/>
  <c r="H94" i="61"/>
  <c r="G94" i="61"/>
  <c r="F94" i="61"/>
  <c r="V93" i="61"/>
  <c r="U93" i="61" s="1"/>
  <c r="Q93" i="61" s="1"/>
  <c r="P93" i="61"/>
  <c r="E93" i="61"/>
  <c r="C93" i="61" s="1"/>
  <c r="V92" i="61"/>
  <c r="U92" i="61" s="1"/>
  <c r="Q92" i="61" s="1"/>
  <c r="P92" i="61"/>
  <c r="E92" i="61"/>
  <c r="C92" i="61" s="1"/>
  <c r="AE91" i="61"/>
  <c r="AD91" i="61"/>
  <c r="AC91" i="61"/>
  <c r="AB91" i="61"/>
  <c r="AA91" i="61"/>
  <c r="Z91" i="61"/>
  <c r="Y91" i="61"/>
  <c r="X91" i="61"/>
  <c r="W91" i="61"/>
  <c r="P91" i="61"/>
  <c r="N91" i="61"/>
  <c r="M91" i="61"/>
  <c r="L91" i="61"/>
  <c r="K91" i="61"/>
  <c r="J91" i="61"/>
  <c r="I91" i="61"/>
  <c r="H91" i="61"/>
  <c r="G91" i="61"/>
  <c r="F91" i="61"/>
  <c r="U90" i="61"/>
  <c r="Q90" i="61" s="1"/>
  <c r="P90" i="61"/>
  <c r="C90" i="61"/>
  <c r="V89" i="61"/>
  <c r="U89" i="61" s="1"/>
  <c r="Q89" i="61" s="1"/>
  <c r="P89" i="61"/>
  <c r="E89" i="61"/>
  <c r="C89" i="61" s="1"/>
  <c r="V88" i="61"/>
  <c r="U88" i="61" s="1"/>
  <c r="Q88" i="61" s="1"/>
  <c r="P88" i="61"/>
  <c r="E88" i="61"/>
  <c r="C88" i="61" s="1"/>
  <c r="V87" i="61"/>
  <c r="U87" i="61" s="1"/>
  <c r="Q87" i="61" s="1"/>
  <c r="P87" i="61"/>
  <c r="E87" i="61"/>
  <c r="C87" i="61" s="1"/>
  <c r="V86" i="61"/>
  <c r="U86" i="61" s="1"/>
  <c r="Q86" i="61" s="1"/>
  <c r="P86" i="61"/>
  <c r="E86" i="61"/>
  <c r="C86" i="61" s="1"/>
  <c r="V85" i="61"/>
  <c r="U85" i="61" s="1"/>
  <c r="Q85" i="61" s="1"/>
  <c r="P85" i="61"/>
  <c r="E85" i="61"/>
  <c r="C85" i="61" s="1"/>
  <c r="V84" i="61"/>
  <c r="U84" i="61" s="1"/>
  <c r="Q84" i="61" s="1"/>
  <c r="P84" i="61"/>
  <c r="E84" i="61"/>
  <c r="C84" i="61" s="1"/>
  <c r="V83" i="61"/>
  <c r="U83" i="61" s="1"/>
  <c r="Q83" i="61" s="1"/>
  <c r="P83" i="61"/>
  <c r="E83" i="61"/>
  <c r="C83" i="61" s="1"/>
  <c r="V82" i="61"/>
  <c r="U82" i="61" s="1"/>
  <c r="Q82" i="61" s="1"/>
  <c r="P82" i="61"/>
  <c r="E82" i="61"/>
  <c r="C82" i="61" s="1"/>
  <c r="V81" i="61"/>
  <c r="U81" i="61" s="1"/>
  <c r="Q81" i="61" s="1"/>
  <c r="P81" i="61"/>
  <c r="E81" i="61"/>
  <c r="C81" i="61" s="1"/>
  <c r="V80" i="61"/>
  <c r="U80" i="61" s="1"/>
  <c r="Q80" i="61" s="1"/>
  <c r="P80" i="61"/>
  <c r="E80" i="61"/>
  <c r="C80" i="61" s="1"/>
  <c r="V79" i="61"/>
  <c r="U79" i="61" s="1"/>
  <c r="Q79" i="61" s="1"/>
  <c r="P79" i="61"/>
  <c r="E79" i="61"/>
  <c r="C79" i="61" s="1"/>
  <c r="V78" i="61"/>
  <c r="U78" i="61" s="1"/>
  <c r="Q78" i="61" s="1"/>
  <c r="P78" i="61"/>
  <c r="E78" i="61"/>
  <c r="C78" i="61" s="1"/>
  <c r="V77" i="61"/>
  <c r="U77" i="61" s="1"/>
  <c r="Q77" i="61" s="1"/>
  <c r="P77" i="61"/>
  <c r="E77" i="61"/>
  <c r="C77" i="61" s="1"/>
  <c r="V76" i="61"/>
  <c r="U76" i="61" s="1"/>
  <c r="Q76" i="61" s="1"/>
  <c r="P76" i="61"/>
  <c r="E76" i="61"/>
  <c r="C76" i="61" s="1"/>
  <c r="V75" i="61"/>
  <c r="U75" i="61" s="1"/>
  <c r="Q75" i="61" s="1"/>
  <c r="P75" i="61"/>
  <c r="E75" i="61"/>
  <c r="C75" i="61" s="1"/>
  <c r="V74" i="61"/>
  <c r="U74" i="61" s="1"/>
  <c r="Q74" i="61" s="1"/>
  <c r="P74" i="61"/>
  <c r="E74" i="61"/>
  <c r="C74" i="61" s="1"/>
  <c r="V73" i="61"/>
  <c r="U73" i="61" s="1"/>
  <c r="Q73" i="61" s="1"/>
  <c r="P73" i="61"/>
  <c r="E73" i="61"/>
  <c r="C73" i="61" s="1"/>
  <c r="V72" i="61"/>
  <c r="U72" i="61" s="1"/>
  <c r="Q72" i="61" s="1"/>
  <c r="P72" i="61"/>
  <c r="E72" i="61"/>
  <c r="C72" i="61" s="1"/>
  <c r="V71" i="61"/>
  <c r="U71" i="61" s="1"/>
  <c r="Q71" i="61" s="1"/>
  <c r="P71" i="61"/>
  <c r="E71" i="61"/>
  <c r="C71" i="61" s="1"/>
  <c r="V70" i="61"/>
  <c r="U70" i="61" s="1"/>
  <c r="Q70" i="61" s="1"/>
  <c r="P70" i="61"/>
  <c r="E70" i="61"/>
  <c r="C70" i="61" s="1"/>
  <c r="V69" i="61"/>
  <c r="U69" i="61" s="1"/>
  <c r="Q69" i="61" s="1"/>
  <c r="P69" i="61"/>
  <c r="E69" i="61"/>
  <c r="C69" i="61" s="1"/>
  <c r="V68" i="61"/>
  <c r="U68" i="61" s="1"/>
  <c r="Q68" i="61" s="1"/>
  <c r="P68" i="61"/>
  <c r="E68" i="61"/>
  <c r="C68" i="61" s="1"/>
  <c r="V67" i="61"/>
  <c r="U67" i="61" s="1"/>
  <c r="Q67" i="61" s="1"/>
  <c r="P67" i="61"/>
  <c r="E67" i="61"/>
  <c r="C67" i="61" s="1"/>
  <c r="V66" i="61"/>
  <c r="U66" i="61" s="1"/>
  <c r="Q66" i="61" s="1"/>
  <c r="P66" i="61"/>
  <c r="E66" i="61"/>
  <c r="C66" i="61" s="1"/>
  <c r="V65" i="61"/>
  <c r="U65" i="61" s="1"/>
  <c r="Q65" i="61" s="1"/>
  <c r="P65" i="61"/>
  <c r="E65" i="61"/>
  <c r="C65" i="61" s="1"/>
  <c r="V64" i="61"/>
  <c r="U64" i="61" s="1"/>
  <c r="Q64" i="61" s="1"/>
  <c r="P64" i="61"/>
  <c r="E64" i="61"/>
  <c r="C64" i="61" s="1"/>
  <c r="U63" i="61"/>
  <c r="Q63" i="61" s="1"/>
  <c r="P63" i="61"/>
  <c r="C63" i="61"/>
  <c r="AE62" i="61"/>
  <c r="AD62" i="61"/>
  <c r="AC62" i="61"/>
  <c r="AB62" i="61"/>
  <c r="AA62" i="61"/>
  <c r="Z62" i="61"/>
  <c r="Y62" i="61"/>
  <c r="X62" i="61"/>
  <c r="W62" i="61"/>
  <c r="P62" i="61"/>
  <c r="N62" i="61"/>
  <c r="M62" i="61"/>
  <c r="L62" i="61"/>
  <c r="K62" i="61"/>
  <c r="J62" i="61"/>
  <c r="I62" i="61"/>
  <c r="H62" i="61"/>
  <c r="G62" i="61"/>
  <c r="F62" i="61"/>
  <c r="V60" i="61"/>
  <c r="U60" i="61" s="1"/>
  <c r="Q60" i="61" s="1"/>
  <c r="P60" i="61"/>
  <c r="E60" i="61"/>
  <c r="C60" i="61" s="1"/>
  <c r="V59" i="61"/>
  <c r="U59" i="61" s="1"/>
  <c r="Q59" i="61" s="1"/>
  <c r="P59" i="61"/>
  <c r="E59" i="61"/>
  <c r="C59" i="61" s="1"/>
  <c r="V58" i="61"/>
  <c r="U58" i="61" s="1"/>
  <c r="Q58" i="61" s="1"/>
  <c r="P58" i="61"/>
  <c r="E58" i="61"/>
  <c r="C58" i="61" s="1"/>
  <c r="V57" i="61"/>
  <c r="U57" i="61" s="1"/>
  <c r="Q57" i="61" s="1"/>
  <c r="P57" i="61"/>
  <c r="E57" i="61"/>
  <c r="V56" i="61"/>
  <c r="P56" i="61"/>
  <c r="E56" i="61"/>
  <c r="C56" i="61" s="1"/>
  <c r="V55" i="61"/>
  <c r="U55" i="61" s="1"/>
  <c r="Q55" i="61" s="1"/>
  <c r="P55" i="61"/>
  <c r="E55" i="61"/>
  <c r="C55" i="61" s="1"/>
  <c r="AE54" i="61"/>
  <c r="AD54" i="61"/>
  <c r="AC54" i="61"/>
  <c r="AB54" i="61"/>
  <c r="AA54" i="61"/>
  <c r="Z54" i="61"/>
  <c r="Y54" i="61"/>
  <c r="X54" i="61"/>
  <c r="W54" i="61"/>
  <c r="P54" i="61"/>
  <c r="N54" i="61"/>
  <c r="M54" i="61"/>
  <c r="L54" i="61"/>
  <c r="K54" i="61"/>
  <c r="J54" i="61"/>
  <c r="I54" i="61"/>
  <c r="H54" i="61"/>
  <c r="G54" i="61"/>
  <c r="F54" i="61"/>
  <c r="V53" i="61"/>
  <c r="U53" i="61" s="1"/>
  <c r="Q53" i="61" s="1"/>
  <c r="P53" i="61"/>
  <c r="E53" i="61"/>
  <c r="C53" i="61" s="1"/>
  <c r="V52" i="61"/>
  <c r="P52" i="61"/>
  <c r="E52" i="61"/>
  <c r="C52" i="61" s="1"/>
  <c r="V51" i="61"/>
  <c r="U51" i="61" s="1"/>
  <c r="Q51" i="61" s="1"/>
  <c r="P51" i="61"/>
  <c r="E51" i="61"/>
  <c r="C51" i="61" s="1"/>
  <c r="AE50" i="61"/>
  <c r="AD50" i="61"/>
  <c r="AC50" i="61"/>
  <c r="AB50" i="61"/>
  <c r="AA50" i="61"/>
  <c r="Z50" i="61"/>
  <c r="Y50" i="61"/>
  <c r="X50" i="61"/>
  <c r="W50" i="61"/>
  <c r="P50" i="61"/>
  <c r="N50" i="61"/>
  <c r="M50" i="61"/>
  <c r="L50" i="61"/>
  <c r="K50" i="61"/>
  <c r="J50" i="61"/>
  <c r="I50" i="61"/>
  <c r="H50" i="61"/>
  <c r="G50" i="61"/>
  <c r="F50" i="61"/>
  <c r="V49" i="61"/>
  <c r="P49" i="61"/>
  <c r="E49" i="61"/>
  <c r="C49" i="61" s="1"/>
  <c r="V48" i="61"/>
  <c r="U48" i="61" s="1"/>
  <c r="Q48" i="61" s="1"/>
  <c r="P48" i="61"/>
  <c r="E48" i="61"/>
  <c r="AE47" i="61"/>
  <c r="AD47" i="61"/>
  <c r="AC47" i="61"/>
  <c r="AB47" i="61"/>
  <c r="AA47" i="61"/>
  <c r="Z47" i="61"/>
  <c r="Y47" i="61"/>
  <c r="X47" i="61"/>
  <c r="W47" i="61"/>
  <c r="P47" i="61"/>
  <c r="N47" i="61"/>
  <c r="M47" i="61"/>
  <c r="L47" i="61"/>
  <c r="K47" i="61"/>
  <c r="J47" i="61"/>
  <c r="I47" i="61"/>
  <c r="H47" i="61"/>
  <c r="G47" i="61"/>
  <c r="F47" i="61"/>
  <c r="V46" i="61"/>
  <c r="U46" i="61" s="1"/>
  <c r="Q46" i="61" s="1"/>
  <c r="P46" i="61"/>
  <c r="E46" i="61"/>
  <c r="C46" i="61" s="1"/>
  <c r="AE45" i="61"/>
  <c r="AD45" i="61"/>
  <c r="AC45" i="61"/>
  <c r="AB45" i="61"/>
  <c r="AA45" i="61"/>
  <c r="Z45" i="61"/>
  <c r="Y45" i="61"/>
  <c r="X45" i="61"/>
  <c r="W45" i="61"/>
  <c r="P45" i="61"/>
  <c r="N45" i="61"/>
  <c r="M45" i="61"/>
  <c r="L45" i="61"/>
  <c r="K45" i="61"/>
  <c r="J45" i="61"/>
  <c r="I45" i="61"/>
  <c r="H45" i="61"/>
  <c r="G45" i="61"/>
  <c r="F45" i="61"/>
  <c r="V44" i="61"/>
  <c r="U44" i="61" s="1"/>
  <c r="Q44" i="61" s="1"/>
  <c r="P44" i="61"/>
  <c r="E44" i="61"/>
  <c r="C44" i="61" s="1"/>
  <c r="V43" i="61"/>
  <c r="U43" i="61" s="1"/>
  <c r="Q43" i="61" s="1"/>
  <c r="P43" i="61"/>
  <c r="E43" i="61"/>
  <c r="C43" i="61" s="1"/>
  <c r="V42" i="61"/>
  <c r="U42" i="61" s="1"/>
  <c r="Q42" i="61" s="1"/>
  <c r="P42" i="61"/>
  <c r="E42" i="61"/>
  <c r="C42" i="61" s="1"/>
  <c r="AE41" i="61"/>
  <c r="AD41" i="61"/>
  <c r="AC41" i="61"/>
  <c r="AB41" i="61"/>
  <c r="AA41" i="61"/>
  <c r="Z41" i="61"/>
  <c r="Y41" i="61"/>
  <c r="X41" i="61"/>
  <c r="W41" i="61"/>
  <c r="P41" i="61"/>
  <c r="N41" i="61"/>
  <c r="M41" i="61"/>
  <c r="L41" i="61"/>
  <c r="K41" i="61"/>
  <c r="J41" i="61"/>
  <c r="I41" i="61"/>
  <c r="H41" i="61"/>
  <c r="G41" i="61"/>
  <c r="F41" i="61"/>
  <c r="V40" i="61"/>
  <c r="U40" i="61" s="1"/>
  <c r="Q40" i="61" s="1"/>
  <c r="P40" i="61"/>
  <c r="E40" i="61"/>
  <c r="C40" i="61" s="1"/>
  <c r="V39" i="61"/>
  <c r="U39" i="61" s="1"/>
  <c r="Q39" i="61" s="1"/>
  <c r="P39" i="61"/>
  <c r="E39" i="61"/>
  <c r="C39" i="61" s="1"/>
  <c r="V38" i="61"/>
  <c r="U38" i="61" s="1"/>
  <c r="Q38" i="61" s="1"/>
  <c r="P38" i="61"/>
  <c r="E38" i="61"/>
  <c r="C38" i="61" s="1"/>
  <c r="AE37" i="61"/>
  <c r="AD37" i="61"/>
  <c r="AC37" i="61"/>
  <c r="AB37" i="61"/>
  <c r="AA37" i="61"/>
  <c r="Z37" i="61"/>
  <c r="Y37" i="61"/>
  <c r="X37" i="61"/>
  <c r="W37" i="61"/>
  <c r="P37" i="61"/>
  <c r="N37" i="61"/>
  <c r="M37" i="61"/>
  <c r="L37" i="61"/>
  <c r="K37" i="61"/>
  <c r="J37" i="61"/>
  <c r="I37" i="61"/>
  <c r="H37" i="61"/>
  <c r="G37" i="61"/>
  <c r="F37" i="61"/>
  <c r="V36" i="61"/>
  <c r="U36" i="61" s="1"/>
  <c r="Q36" i="61" s="1"/>
  <c r="P36" i="61"/>
  <c r="E36" i="61"/>
  <c r="C36" i="61" s="1"/>
  <c r="V35" i="61"/>
  <c r="U35" i="61" s="1"/>
  <c r="Q35" i="61" s="1"/>
  <c r="P35" i="61"/>
  <c r="E35" i="61"/>
  <c r="C35" i="61" s="1"/>
  <c r="AE34" i="61"/>
  <c r="AD34" i="61"/>
  <c r="AC34" i="61"/>
  <c r="AB34" i="61"/>
  <c r="AA34" i="61"/>
  <c r="Z34" i="61"/>
  <c r="Y34" i="61"/>
  <c r="X34" i="61"/>
  <c r="W34" i="61"/>
  <c r="P34" i="61"/>
  <c r="N34" i="61"/>
  <c r="M34" i="61"/>
  <c r="L34" i="61"/>
  <c r="K34" i="61"/>
  <c r="J34" i="61"/>
  <c r="I34" i="61"/>
  <c r="H34" i="61"/>
  <c r="G34" i="61"/>
  <c r="F34" i="61"/>
  <c r="V33" i="61"/>
  <c r="U33" i="61" s="1"/>
  <c r="Q33" i="61" s="1"/>
  <c r="P33" i="61"/>
  <c r="E33" i="61"/>
  <c r="C33" i="61" s="1"/>
  <c r="V32" i="61"/>
  <c r="U32" i="61" s="1"/>
  <c r="Q32" i="61" s="1"/>
  <c r="P32" i="61"/>
  <c r="E32" i="61"/>
  <c r="C32" i="61" s="1"/>
  <c r="U31" i="61"/>
  <c r="Q31" i="61" s="1"/>
  <c r="R31" i="61"/>
  <c r="P31" i="61" s="1"/>
  <c r="C31" i="61"/>
  <c r="V30" i="61"/>
  <c r="U30" i="61" s="1"/>
  <c r="Q30" i="61" s="1"/>
  <c r="P30" i="61"/>
  <c r="E30" i="61"/>
  <c r="C30" i="61" s="1"/>
  <c r="V29" i="61"/>
  <c r="U29" i="61" s="1"/>
  <c r="Q29" i="61" s="1"/>
  <c r="P29" i="61"/>
  <c r="E29" i="61"/>
  <c r="C29" i="61" s="1"/>
  <c r="U28" i="61"/>
  <c r="Q28" i="61" s="1"/>
  <c r="P28" i="61"/>
  <c r="C28" i="61"/>
  <c r="U27" i="61"/>
  <c r="Q27" i="61" s="1"/>
  <c r="P27" i="61"/>
  <c r="C27" i="61"/>
  <c r="U26" i="61"/>
  <c r="Q26" i="61" s="1"/>
  <c r="P26" i="61"/>
  <c r="C26" i="61"/>
  <c r="V25" i="61"/>
  <c r="U25" i="61" s="1"/>
  <c r="Q25" i="61" s="1"/>
  <c r="P25" i="61"/>
  <c r="E25" i="61"/>
  <c r="C25" i="61" s="1"/>
  <c r="U24" i="61"/>
  <c r="Q24" i="61" s="1"/>
  <c r="P24" i="61"/>
  <c r="C24" i="61"/>
  <c r="U23" i="61"/>
  <c r="Q23" i="61" s="1"/>
  <c r="P23" i="61"/>
  <c r="C23" i="61"/>
  <c r="V22" i="61"/>
  <c r="P22" i="61"/>
  <c r="E22" i="61"/>
  <c r="U21" i="61"/>
  <c r="Q21" i="61" s="1"/>
  <c r="P21" i="61"/>
  <c r="C21" i="61"/>
  <c r="AE20" i="61"/>
  <c r="AD20" i="61"/>
  <c r="AC20" i="61"/>
  <c r="AB20" i="61"/>
  <c r="AA20" i="61"/>
  <c r="Z20" i="61"/>
  <c r="Y20" i="61"/>
  <c r="X20" i="61"/>
  <c r="W20" i="61"/>
  <c r="P20" i="61"/>
  <c r="N20" i="61"/>
  <c r="M20" i="61"/>
  <c r="L20" i="61"/>
  <c r="K20" i="61"/>
  <c r="J20" i="61"/>
  <c r="I20" i="61"/>
  <c r="H20" i="61"/>
  <c r="G20" i="61"/>
  <c r="F20" i="61"/>
  <c r="V19" i="61"/>
  <c r="U19" i="61" s="1"/>
  <c r="Q19" i="61" s="1"/>
  <c r="P19" i="61"/>
  <c r="AH19" i="61" s="1"/>
  <c r="E19" i="61"/>
  <c r="C19" i="61" s="1"/>
  <c r="V18" i="61"/>
  <c r="U18" i="61" s="1"/>
  <c r="Q18" i="61" s="1"/>
  <c r="P18" i="61"/>
  <c r="AH18" i="61" s="1"/>
  <c r="E18" i="61"/>
  <c r="C18" i="61" s="1"/>
  <c r="V17" i="61"/>
  <c r="U17" i="61" s="1"/>
  <c r="Q17" i="61" s="1"/>
  <c r="P17" i="61"/>
  <c r="AH17" i="61" s="1"/>
  <c r="E17" i="61"/>
  <c r="AE16" i="61"/>
  <c r="AD16" i="61"/>
  <c r="AC16" i="61"/>
  <c r="AB16" i="61"/>
  <c r="AA16" i="61"/>
  <c r="Z16" i="61"/>
  <c r="Y16" i="61"/>
  <c r="X16" i="61"/>
  <c r="W16" i="61"/>
  <c r="P16" i="61"/>
  <c r="AH16" i="61" s="1"/>
  <c r="N16" i="61"/>
  <c r="M16" i="61"/>
  <c r="L16" i="61"/>
  <c r="K16" i="61"/>
  <c r="J16" i="61"/>
  <c r="I16" i="61"/>
  <c r="H16" i="61"/>
  <c r="G16" i="61"/>
  <c r="F16" i="61"/>
  <c r="V15" i="61"/>
  <c r="U15" i="61" s="1"/>
  <c r="Q15" i="61" s="1"/>
  <c r="P15" i="61"/>
  <c r="AH15" i="61" s="1"/>
  <c r="E15" i="61"/>
  <c r="C15" i="61" s="1"/>
  <c r="T14" i="61"/>
  <c r="P14" i="61" l="1"/>
  <c r="AH14" i="61" s="1"/>
  <c r="O112" i="61"/>
  <c r="O95" i="61"/>
  <c r="O94" i="61"/>
  <c r="O132" i="61"/>
  <c r="O131" i="61"/>
  <c r="O130" i="61"/>
  <c r="O129" i="61"/>
  <c r="Q126" i="61"/>
  <c r="O128" i="61"/>
  <c r="J14" i="61"/>
  <c r="Y14" i="61"/>
  <c r="AI17" i="61"/>
  <c r="Q117" i="61"/>
  <c r="O117" i="61" s="1"/>
  <c r="F14" i="61"/>
  <c r="N14" i="61"/>
  <c r="AI121" i="61"/>
  <c r="O74" i="61"/>
  <c r="O64" i="61"/>
  <c r="O68" i="61"/>
  <c r="O72" i="61"/>
  <c r="O76" i="61"/>
  <c r="U22" i="61"/>
  <c r="Q22" i="61" s="1"/>
  <c r="V20" i="61"/>
  <c r="V14" i="61" s="1"/>
  <c r="G14" i="61"/>
  <c r="Z14" i="61"/>
  <c r="K14" i="61"/>
  <c r="C22" i="61"/>
  <c r="E20" i="61"/>
  <c r="E14" i="61" s="1"/>
  <c r="H14" i="61"/>
  <c r="L14" i="61"/>
  <c r="I14" i="61"/>
  <c r="M14" i="61"/>
  <c r="X14" i="61"/>
  <c r="AB14" i="61"/>
  <c r="O58" i="61"/>
  <c r="O29" i="61"/>
  <c r="O21" i="61"/>
  <c r="O25" i="61"/>
  <c r="O30" i="61"/>
  <c r="O32" i="61"/>
  <c r="V41" i="61"/>
  <c r="U41" i="61" s="1"/>
  <c r="Q41" i="61" s="1"/>
  <c r="O41" i="61" s="1"/>
  <c r="O42" i="61"/>
  <c r="O51" i="61"/>
  <c r="E16" i="61"/>
  <c r="C16" i="61" s="1"/>
  <c r="V34" i="61"/>
  <c r="U34" i="61" s="1"/>
  <c r="Q34" i="61" s="1"/>
  <c r="O34" i="61" s="1"/>
  <c r="O39" i="61"/>
  <c r="O114" i="61"/>
  <c r="AC14" i="61"/>
  <c r="AI19" i="61"/>
  <c r="O40" i="61"/>
  <c r="V45" i="61"/>
  <c r="U45" i="61" s="1"/>
  <c r="Q45" i="61" s="1"/>
  <c r="O45" i="61" s="1"/>
  <c r="O57" i="61"/>
  <c r="O66" i="61"/>
  <c r="U107" i="61"/>
  <c r="Q107" i="61" s="1"/>
  <c r="O107" i="61" s="1"/>
  <c r="O108" i="61"/>
  <c r="O116" i="61"/>
  <c r="AD14" i="61"/>
  <c r="E37" i="61"/>
  <c r="C37" i="61" s="1"/>
  <c r="E45" i="61"/>
  <c r="C45" i="61" s="1"/>
  <c r="V54" i="61"/>
  <c r="U54" i="61" s="1"/>
  <c r="Q54" i="61" s="1"/>
  <c r="O54" i="61" s="1"/>
  <c r="O85" i="61"/>
  <c r="AI123" i="61"/>
  <c r="V126" i="61"/>
  <c r="U126" i="61" s="1"/>
  <c r="P126" i="61"/>
  <c r="AH126" i="61" s="1"/>
  <c r="E34" i="61"/>
  <c r="C34" i="61" s="1"/>
  <c r="O31" i="61"/>
  <c r="C48" i="61"/>
  <c r="E47" i="61"/>
  <c r="C47" i="61" s="1"/>
  <c r="V47" i="61"/>
  <c r="U47" i="61" s="1"/>
  <c r="Q47" i="61" s="1"/>
  <c r="O47" i="61" s="1"/>
  <c r="U49" i="61"/>
  <c r="Q49" i="61" s="1"/>
  <c r="O49" i="61" s="1"/>
  <c r="O28" i="61"/>
  <c r="O36" i="61"/>
  <c r="V37" i="61"/>
  <c r="U37" i="61" s="1"/>
  <c r="Q37" i="61" s="1"/>
  <c r="O37" i="61" s="1"/>
  <c r="W14" i="61"/>
  <c r="AA14" i="61"/>
  <c r="AE14" i="61"/>
  <c r="O22" i="61"/>
  <c r="O27" i="61"/>
  <c r="O35" i="61"/>
  <c r="O23" i="61"/>
  <c r="O24" i="61"/>
  <c r="O26" i="61"/>
  <c r="O38" i="61"/>
  <c r="O43" i="61"/>
  <c r="O44" i="61"/>
  <c r="V50" i="61"/>
  <c r="U50" i="61" s="1"/>
  <c r="Q50" i="61" s="1"/>
  <c r="O50" i="61" s="1"/>
  <c r="O59" i="61"/>
  <c r="O60" i="61"/>
  <c r="C62" i="61"/>
  <c r="O80" i="61"/>
  <c r="O84" i="61"/>
  <c r="O88" i="61"/>
  <c r="O93" i="61"/>
  <c r="O96" i="61"/>
  <c r="O97" i="61"/>
  <c r="O99" i="61"/>
  <c r="O101" i="61"/>
  <c r="O109" i="61"/>
  <c r="O121" i="61"/>
  <c r="AG121" i="61" s="1"/>
  <c r="AH121" i="61"/>
  <c r="R126" i="61"/>
  <c r="O46" i="61"/>
  <c r="U56" i="61"/>
  <c r="Q56" i="61" s="1"/>
  <c r="O56" i="61" s="1"/>
  <c r="U62" i="61"/>
  <c r="Q62" i="61" s="1"/>
  <c r="O62" i="61" s="1"/>
  <c r="O69" i="61"/>
  <c r="O77" i="61"/>
  <c r="O63" i="61"/>
  <c r="O105" i="61"/>
  <c r="O106" i="61"/>
  <c r="U113" i="61"/>
  <c r="Q113" i="61" s="1"/>
  <c r="O113" i="61" s="1"/>
  <c r="O115" i="61"/>
  <c r="O123" i="61"/>
  <c r="AG123" i="61" s="1"/>
  <c r="AH123" i="61"/>
  <c r="O48" i="61"/>
  <c r="E54" i="61"/>
  <c r="C54" i="61" s="1"/>
  <c r="O65" i="61"/>
  <c r="O70" i="61"/>
  <c r="O73" i="61"/>
  <c r="O78" i="61"/>
  <c r="O81" i="61"/>
  <c r="O89" i="61"/>
  <c r="O102" i="61"/>
  <c r="O103" i="61"/>
  <c r="O111" i="61"/>
  <c r="O18" i="61"/>
  <c r="AG18" i="61" s="1"/>
  <c r="AI18" i="61"/>
  <c r="O15" i="61"/>
  <c r="AG15" i="61" s="1"/>
  <c r="AI15" i="61"/>
  <c r="O53" i="61"/>
  <c r="O55" i="61"/>
  <c r="V16" i="61"/>
  <c r="U16" i="61" s="1"/>
  <c r="Q16" i="61" s="1"/>
  <c r="C17" i="61"/>
  <c r="O33" i="61"/>
  <c r="R14" i="61"/>
  <c r="O17" i="61"/>
  <c r="AG17" i="61" s="1"/>
  <c r="O19" i="61"/>
  <c r="AG19" i="61" s="1"/>
  <c r="E50" i="61"/>
  <c r="C50" i="61" s="1"/>
  <c r="U52" i="61"/>
  <c r="Q52" i="61" s="1"/>
  <c r="O52" i="61" s="1"/>
  <c r="C57" i="61"/>
  <c r="O67" i="61"/>
  <c r="O71" i="61"/>
  <c r="O75" i="61"/>
  <c r="O79" i="61"/>
  <c r="O83" i="61"/>
  <c r="O87" i="61"/>
  <c r="U91" i="61"/>
  <c r="Q91" i="61" s="1"/>
  <c r="O91" i="61" s="1"/>
  <c r="O100" i="61"/>
  <c r="O110" i="61"/>
  <c r="O122" i="61"/>
  <c r="AG122" i="61" s="1"/>
  <c r="AI122" i="61"/>
  <c r="E126" i="61"/>
  <c r="C133" i="61"/>
  <c r="C126" i="61" s="1"/>
  <c r="O92" i="61"/>
  <c r="O124" i="61"/>
  <c r="AG124" i="61" s="1"/>
  <c r="AI124" i="61"/>
  <c r="E41" i="61"/>
  <c r="C41" i="61" s="1"/>
  <c r="O82" i="61"/>
  <c r="O86" i="61"/>
  <c r="O90" i="61"/>
  <c r="C91" i="61"/>
  <c r="C94" i="61"/>
  <c r="U98" i="61"/>
  <c r="Q98" i="61" s="1"/>
  <c r="O98" i="61" s="1"/>
  <c r="E102" i="61"/>
  <c r="C102" i="61" s="1"/>
  <c r="C105" i="61"/>
  <c r="C107" i="61"/>
  <c r="C113" i="61"/>
  <c r="O127" i="61"/>
  <c r="C116" i="61"/>
  <c r="AI16" i="61" l="1"/>
  <c r="C20" i="61"/>
  <c r="U20" i="61"/>
  <c r="Q20" i="61" s="1"/>
  <c r="V13" i="61"/>
  <c r="R13" i="61"/>
  <c r="AI126" i="61"/>
  <c r="O16" i="61"/>
  <c r="AG16" i="61" s="1"/>
  <c r="P13" i="61"/>
  <c r="AH13" i="61" s="1"/>
  <c r="R11" i="54"/>
  <c r="M11" i="54" s="1"/>
  <c r="T10" i="54"/>
  <c r="R10" i="54" s="1"/>
  <c r="E13" i="61"/>
  <c r="O126" i="61"/>
  <c r="AG126" i="61" s="1"/>
  <c r="E20" i="51"/>
  <c r="C14" i="61" l="1"/>
  <c r="C13" i="61" s="1"/>
  <c r="O20" i="61"/>
  <c r="U14" i="61"/>
  <c r="U13" i="61" s="1"/>
  <c r="E36" i="51"/>
  <c r="Q14" i="61" l="1"/>
  <c r="Q13" i="61" s="1"/>
  <c r="AI13" i="61" s="1"/>
  <c r="O14" i="61" l="1"/>
  <c r="O13" i="61" s="1"/>
  <c r="AG13" i="61" s="1"/>
  <c r="AI14" i="61"/>
  <c r="AG14" i="61" l="1"/>
  <c r="C65" i="54"/>
  <c r="M62" i="54" l="1"/>
  <c r="M10" i="54" s="1"/>
  <c r="N10" i="54" l="1"/>
  <c r="H38" i="53"/>
  <c r="G38" i="53"/>
  <c r="J38" i="53" s="1"/>
  <c r="F75" i="53"/>
  <c r="F74" i="53"/>
  <c r="F73" i="53"/>
  <c r="F71" i="53"/>
  <c r="F72" i="53"/>
  <c r="F70" i="53"/>
  <c r="F69" i="53"/>
  <c r="F68" i="53"/>
  <c r="F67" i="53"/>
  <c r="F66" i="53"/>
  <c r="F65" i="53"/>
  <c r="F64" i="53"/>
  <c r="F63" i="53"/>
  <c r="F62" i="53"/>
  <c r="F61" i="53"/>
  <c r="F60" i="53"/>
  <c r="F59" i="53"/>
  <c r="F58" i="53"/>
  <c r="F57" i="53"/>
  <c r="F49" i="53"/>
  <c r="F50" i="53"/>
  <c r="F51" i="53"/>
  <c r="F52" i="53"/>
  <c r="F53" i="53"/>
  <c r="F54" i="53"/>
  <c r="F55" i="53"/>
  <c r="F56" i="53"/>
  <c r="F48" i="53"/>
  <c r="F47" i="53"/>
  <c r="F46" i="53"/>
  <c r="F45" i="53"/>
  <c r="F44" i="53"/>
  <c r="F43" i="53"/>
  <c r="F42" i="53"/>
  <c r="F41" i="53"/>
  <c r="F40" i="53"/>
  <c r="F39" i="53"/>
  <c r="F38" i="53" l="1"/>
  <c r="I38" i="53" s="1"/>
  <c r="E11" i="52" l="1"/>
  <c r="F11" i="52"/>
  <c r="H31" i="53"/>
  <c r="H10" i="53" s="1"/>
  <c r="G31" i="53"/>
  <c r="G10" i="53" s="1"/>
  <c r="F36" i="53"/>
  <c r="F37" i="53"/>
  <c r="F35" i="53"/>
  <c r="F10" i="53" l="1"/>
  <c r="J31" i="53"/>
  <c r="S17" i="58" l="1"/>
  <c r="S21" i="58"/>
  <c r="R14" i="58"/>
  <c r="R15" i="58"/>
  <c r="R16" i="58"/>
  <c r="R17" i="58"/>
  <c r="R18" i="58"/>
  <c r="R19" i="58"/>
  <c r="R20" i="58"/>
  <c r="R21" i="58"/>
  <c r="R22" i="58"/>
  <c r="R13" i="58"/>
  <c r="D12" i="58"/>
  <c r="R12" i="58" s="1"/>
  <c r="C22" i="58"/>
  <c r="Q22" i="58" s="1"/>
  <c r="C20" i="58"/>
  <c r="Q20" i="58" s="1"/>
  <c r="C19" i="58"/>
  <c r="Q19" i="58" s="1"/>
  <c r="S18" i="58"/>
  <c r="C17" i="58"/>
  <c r="Q17" i="58" s="1"/>
  <c r="C16" i="58"/>
  <c r="Q16" i="58" s="1"/>
  <c r="C15" i="58"/>
  <c r="Q15" i="58" s="1"/>
  <c r="C18" i="58"/>
  <c r="Q18" i="58" s="1"/>
  <c r="C21" i="58"/>
  <c r="Q21" i="58" s="1"/>
  <c r="C14" i="58"/>
  <c r="Q14" i="58" s="1"/>
  <c r="S13" i="58"/>
  <c r="S22" i="58" l="1"/>
  <c r="S14" i="58"/>
  <c r="S20" i="58"/>
  <c r="S16" i="58"/>
  <c r="C13" i="58"/>
  <c r="E12" i="58"/>
  <c r="S12" i="58" s="1"/>
  <c r="S19" i="58"/>
  <c r="S15" i="58"/>
  <c r="C12" i="58" l="1"/>
  <c r="Q12" i="58" s="1"/>
  <c r="Q13" i="58"/>
  <c r="F13" i="52"/>
  <c r="D47" i="52" l="1"/>
  <c r="C47" i="52"/>
  <c r="F47" i="52" l="1"/>
  <c r="E30" i="51"/>
  <c r="O10" i="54" l="1"/>
  <c r="AA11" i="54"/>
  <c r="G10" i="54"/>
  <c r="U10" i="54"/>
  <c r="P10" i="54"/>
  <c r="D10" i="54"/>
  <c r="AA10" i="54" s="1"/>
  <c r="AB11" i="54"/>
  <c r="AB10" i="54" l="1"/>
  <c r="C11" i="54"/>
  <c r="C10" i="54" s="1"/>
  <c r="J22" i="53"/>
  <c r="F76" i="53"/>
  <c r="Z11" i="54" l="1"/>
  <c r="Z10" i="54"/>
  <c r="F31" i="53"/>
  <c r="I31" i="53" s="1"/>
  <c r="F27" i="53"/>
  <c r="F24" i="53"/>
  <c r="E11" i="53"/>
  <c r="E10" i="53" s="1"/>
  <c r="D10" i="53"/>
  <c r="C29" i="53"/>
  <c r="C25" i="53"/>
  <c r="I25" i="53" s="1"/>
  <c r="C24" i="53"/>
  <c r="C22" i="53"/>
  <c r="C12" i="53"/>
  <c r="C30" i="52"/>
  <c r="C12" i="52" s="1"/>
  <c r="C10" i="52" s="1"/>
  <c r="D30" i="52"/>
  <c r="C29" i="51"/>
  <c r="E29" i="51" l="1"/>
  <c r="C9" i="51"/>
  <c r="I24" i="53"/>
  <c r="C11" i="53"/>
  <c r="C10" i="53" s="1"/>
  <c r="D12" i="52"/>
  <c r="D10" i="52" s="1"/>
  <c r="F30" i="52"/>
  <c r="E10" i="51"/>
  <c r="K12" i="53"/>
  <c r="J12" i="53"/>
  <c r="F22" i="53"/>
  <c r="F12" i="53"/>
  <c r="I12" i="53" s="1"/>
  <c r="F12" i="52" l="1"/>
  <c r="E9" i="51"/>
  <c r="I22" i="53"/>
  <c r="F10" i="52"/>
  <c r="E10" i="52"/>
  <c r="J11" i="53"/>
  <c r="K10" i="53"/>
  <c r="K11" i="53"/>
  <c r="E24" i="49"/>
  <c r="E13" i="49"/>
  <c r="E14" i="49"/>
  <c r="D33" i="49"/>
  <c r="E32" i="49"/>
  <c r="D41" i="49"/>
  <c r="D39" i="49" s="1"/>
  <c r="C39" i="49"/>
  <c r="C31" i="49"/>
  <c r="E22" i="49"/>
  <c r="D23" i="49"/>
  <c r="D21" i="49" s="1"/>
  <c r="D12" i="49"/>
  <c r="D10" i="49" s="1"/>
  <c r="C12" i="49"/>
  <c r="C10" i="49" s="1"/>
  <c r="E39" i="49" l="1"/>
  <c r="E11" i="49"/>
  <c r="D31" i="49"/>
  <c r="D45" i="49" s="1"/>
  <c r="E12" i="49"/>
  <c r="I11" i="53"/>
  <c r="J10" i="53"/>
  <c r="I10" i="53"/>
  <c r="E33" i="49"/>
  <c r="C23" i="49"/>
  <c r="E40" i="49"/>
  <c r="E29" i="48"/>
  <c r="E28" i="48"/>
  <c r="F15" i="48"/>
  <c r="E15" i="48"/>
  <c r="F25" i="48"/>
  <c r="F26" i="48"/>
  <c r="E25" i="48"/>
  <c r="E26" i="48"/>
  <c r="E27" i="48"/>
  <c r="C21" i="49" l="1"/>
  <c r="E21" i="49" s="1"/>
  <c r="E31" i="49"/>
  <c r="E10" i="49"/>
  <c r="D29" i="49"/>
  <c r="E23" i="49"/>
  <c r="F31" i="48" l="1"/>
  <c r="E31" i="48"/>
  <c r="C14" i="48"/>
  <c r="C11" i="48"/>
  <c r="E38" i="48" l="1"/>
  <c r="F38" i="48"/>
  <c r="C10" i="48"/>
  <c r="F32" i="48"/>
  <c r="E32" i="48"/>
  <c r="E33" i="48"/>
  <c r="F16" i="48"/>
  <c r="E16" i="48"/>
  <c r="E11" i="48" l="1"/>
  <c r="F11" i="48"/>
  <c r="D24" i="48"/>
  <c r="D23" i="48" s="1"/>
  <c r="D14" i="48"/>
  <c r="D10" i="48" s="1"/>
  <c r="F14" i="48" l="1"/>
  <c r="E14" i="48"/>
  <c r="E10" i="48" s="1"/>
  <c r="D37" i="48"/>
  <c r="F10" i="48"/>
  <c r="F24" i="48"/>
  <c r="E24" i="48"/>
  <c r="E23" i="48" s="1"/>
  <c r="F23" i="48" l="1"/>
</calcChain>
</file>

<file path=xl/comments1.xml><?xml version="1.0" encoding="utf-8"?>
<comments xmlns="http://schemas.openxmlformats.org/spreadsheetml/2006/main">
  <authors>
    <author>Pham Thi Huyen Trang</author>
  </authors>
  <commentList>
    <comment ref="C1" authorId="0">
      <text>
        <r>
          <rPr>
            <b/>
            <sz val="9"/>
            <color indexed="81"/>
            <rFont val="Tahoma"/>
            <family val="2"/>
          </rPr>
          <t>Pham Thi Huyen Trang:</t>
        </r>
        <r>
          <rPr>
            <sz val="9"/>
            <color indexed="81"/>
            <rFont val="Tahoma"/>
            <family val="2"/>
          </rPr>
          <t xml:space="preserve">
- Đồng thời là Biểu mẫu số 02
(Kèm theo Thông tư số 137/2017/TT-BTC ngày 25/12/2017)
 - Biểu mẫu số 64
(Kèm theo Nghị định số 31/2017/NĐ-CP ngày 23/3/2017)
- MẨU BIỂU SỐ 75 
(Kèm theo Nghị quyết số 343/2017/UBTVQH14
 ngày 19/01/2017)</t>
        </r>
      </text>
    </comment>
  </commentList>
</comments>
</file>

<file path=xl/sharedStrings.xml><?xml version="1.0" encoding="utf-8"?>
<sst xmlns="http://schemas.openxmlformats.org/spreadsheetml/2006/main" count="1113" uniqueCount="588">
  <si>
    <t>STT</t>
  </si>
  <si>
    <t>Nội dung</t>
  </si>
  <si>
    <t>A</t>
  </si>
  <si>
    <t>B</t>
  </si>
  <si>
    <t>-</t>
  </si>
  <si>
    <t>Đơn vị: Triệu đồng</t>
  </si>
  <si>
    <t>Thu nội địa</t>
  </si>
  <si>
    <t>II</t>
  </si>
  <si>
    <t>III</t>
  </si>
  <si>
    <t>IV</t>
  </si>
  <si>
    <t>C</t>
  </si>
  <si>
    <t>I</t>
  </si>
  <si>
    <t>Thu bổ sung có mục tiêu</t>
  </si>
  <si>
    <t>D</t>
  </si>
  <si>
    <t>TỔNG CHI NSĐP</t>
  </si>
  <si>
    <t>Chi thường xuyên</t>
  </si>
  <si>
    <t>Chi trả nợ lãi các khoản do chính quyền địa phương vay</t>
  </si>
  <si>
    <t>Chi tạo nguồn, điều chỉnh tiền lương</t>
  </si>
  <si>
    <t>E</t>
  </si>
  <si>
    <t>G</t>
  </si>
  <si>
    <t>Từ nguồn vay để trả nợ gốc</t>
  </si>
  <si>
    <t>Vay để bù đắp bội chi</t>
  </si>
  <si>
    <t>Vay để trả nợ gốc</t>
  </si>
  <si>
    <t>V</t>
  </si>
  <si>
    <t>Tổng số</t>
  </si>
  <si>
    <t>TỔNG SỐ</t>
  </si>
  <si>
    <t>Trong đó:</t>
  </si>
  <si>
    <t>Vốn trong nước</t>
  </si>
  <si>
    <t>Tên đơn vị</t>
  </si>
  <si>
    <t>Trong đó</t>
  </si>
  <si>
    <t>Chương trình mục tiêu quốc gia</t>
  </si>
  <si>
    <t>So sánh</t>
  </si>
  <si>
    <t>Tuyệt đối</t>
  </si>
  <si>
    <t>TỔNG NGUỒN THU NSĐP</t>
  </si>
  <si>
    <t>Thu bổ sung cân đối ngân sách</t>
  </si>
  <si>
    <t>Thu từ quỹ dự trữ tài chính</t>
  </si>
  <si>
    <t>Thu chuyển nguồn từ năm trước chuyển sang</t>
  </si>
  <si>
    <t>Chi bổ sung quỹ dự trữ tài chính</t>
  </si>
  <si>
    <t>Dự phòng ngân sách</t>
  </si>
  <si>
    <t>Chi các chương trình mục tiêu</t>
  </si>
  <si>
    <t>Chi các chương trình mục tiêu quốc gia</t>
  </si>
  <si>
    <t>Chi các chương trình mục tiêu, nhiệm vụ</t>
  </si>
  <si>
    <t>Chi chuyển nguồn sang năm sau</t>
  </si>
  <si>
    <t>Từ nguồn bội thu, tăng thu, tiết kiệm chi, kết dư ngân sách cấp tỉnh</t>
  </si>
  <si>
    <t>3=2/1</t>
  </si>
  <si>
    <t>Thuế thu nhập cá nhân</t>
  </si>
  <si>
    <t>Thuế bảo vệ môi trường</t>
  </si>
  <si>
    <t>Thu tiền sử dụng đất</t>
  </si>
  <si>
    <t>Thu từ dầu thô</t>
  </si>
  <si>
    <t>NGÂN SÁCH CẤP TỈNH</t>
  </si>
  <si>
    <t>Nguồn thu ngân sách</t>
  </si>
  <si>
    <t>Thu ngân sách được hưởng theo phân cấp</t>
  </si>
  <si>
    <t>Thu bổ sung từ ngân sách cấp trên</t>
  </si>
  <si>
    <t>Thu kết dư</t>
  </si>
  <si>
    <t>Chi ngân sách</t>
  </si>
  <si>
    <t>Chi thuộc nhiệm vụ của ngân sách cấp tỉnh</t>
  </si>
  <si>
    <t>Chi bổ sung cân đối ngân sách</t>
  </si>
  <si>
    <t>Chi bổ sung có mục tiêu</t>
  </si>
  <si>
    <t>NGÂN SÁCH HUYỆN</t>
  </si>
  <si>
    <t>Chi bổ sung cho ngân sách cấp dưới</t>
  </si>
  <si>
    <t>Ngân sách huyện</t>
  </si>
  <si>
    <t>3=2-1</t>
  </si>
  <si>
    <t>4=2/1</t>
  </si>
  <si>
    <t>Thu NSĐP được hưởng theo phân cấp</t>
  </si>
  <si>
    <t>Thu NSĐP hưởng 100%</t>
  </si>
  <si>
    <t>Thu NSĐP hưởng từ các khoản thu phân chia</t>
  </si>
  <si>
    <t>Chi đầu tư phát triển</t>
  </si>
  <si>
    <t>TỔNG MỨC VAY CỦA NSĐP</t>
  </si>
  <si>
    <t>So sánh (%)</t>
  </si>
  <si>
    <t>Tổng thu NSNN</t>
  </si>
  <si>
    <t>Thu NSĐP</t>
  </si>
  <si>
    <t>5=3/1</t>
  </si>
  <si>
    <t>6=4/2</t>
  </si>
  <si>
    <t>Thuế sử dụng đất nông nghiệp</t>
  </si>
  <si>
    <t>Thuế sử dụng đất phi nông nghiệp</t>
  </si>
  <si>
    <t>Tiền cho thuê đất, thuê mặt nước</t>
  </si>
  <si>
    <t>Thu từ hoạt động xổ số kiến thiết</t>
  </si>
  <si>
    <t>Thu tiền cấp quyền khai thác khoáng sản</t>
  </si>
  <si>
    <t>Thu khác ngân sách</t>
  </si>
  <si>
    <t>Thu từ quỹ đất công ích, hoa lợi công sản khác</t>
  </si>
  <si>
    <t>Thuế nhập khẩu</t>
  </si>
  <si>
    <t>Thu viện trợ</t>
  </si>
  <si>
    <t>Tương đối (%)</t>
  </si>
  <si>
    <t>CHI CÂN ĐỐI NSĐP</t>
  </si>
  <si>
    <t>Chi đầu tư cho các dự án</t>
  </si>
  <si>
    <t>Trong đó: Chia theo lĩnh vực</t>
  </si>
  <si>
    <t>Chi giáo dục - đào tạo và dạy nghề</t>
  </si>
  <si>
    <t>Chi khoa học và công nghệ</t>
  </si>
  <si>
    <t>Trong đó: Chia theo nguồn vốn</t>
  </si>
  <si>
    <t>Chi đầu tư từ nguồn thu tiền sử dụng đất</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</si>
  <si>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</si>
  <si>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</si>
  <si>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VI</t>
  </si>
  <si>
    <t>CHI CÁC CHƯƠNG TRÌNH MỤC TIÊU</t>
  </si>
  <si>
    <t>Lệ phí trước bạ</t>
  </si>
  <si>
    <t>Phí và lệ phí trung ương</t>
  </si>
  <si>
    <t>Thuế xuất khẩu</t>
  </si>
  <si>
    <t>CHI CHUYỂN NGUỒN SANG NĂM SAU</t>
  </si>
  <si>
    <t>Bao gồm</t>
  </si>
  <si>
    <t>Ngân sách địa phương</t>
  </si>
  <si>
    <t>1=2+3</t>
  </si>
  <si>
    <t>4=5+6</t>
  </si>
  <si>
    <t>7=4/1</t>
  </si>
  <si>
    <t>8=5/2</t>
  </si>
  <si>
    <t>9=6/3</t>
  </si>
  <si>
    <t>Chi đầu tư từ nguồn thu xổ số kiến thiết</t>
  </si>
  <si>
    <t xml:space="preserve">Chi đầu tư phát triển </t>
  </si>
  <si>
    <t>Chi quốc phòng</t>
  </si>
  <si>
    <t>Chi an ninh và trật tự an toàn xã hội</t>
  </si>
  <si>
    <t>Chi y tế, dân số và gia đình</t>
  </si>
  <si>
    <t>Chi văn hóa thông tin</t>
  </si>
  <si>
    <t>Chi phát thanh, truyền hình, thông tấn</t>
  </si>
  <si>
    <t>Chi thể dục thể thao</t>
  </si>
  <si>
    <t>Chi bảo vệ môi trường</t>
  </si>
  <si>
    <t>Chi các hoạt động kinh tế</t>
  </si>
  <si>
    <t>Chi hoạt động của cơ quan quản lý nhà nước, đảng, đoàn thể</t>
  </si>
  <si>
    <t>Chi bảo đảm xã hội</t>
  </si>
  <si>
    <t>Chi đầu tư khác</t>
  </si>
  <si>
    <t>Chi chương trình MTQG</t>
  </si>
  <si>
    <t>Chi chuyển nguồn sang ngân sách năm sau</t>
  </si>
  <si>
    <t>CÁC CƠ QUAN, TỔ CHỨC</t>
  </si>
  <si>
    <t>CHI CHUYỂN NGUỒN SANG NGÂN SÁCH NĂM SAU</t>
  </si>
  <si>
    <t xml:space="preserve">Chi khoa học và công nghệ </t>
  </si>
  <si>
    <t xml:space="preserve">Chi các chương trình mục tiêu, nhiệm vụ </t>
  </si>
  <si>
    <t>Dự toán</t>
  </si>
  <si>
    <t>CHI DỰ PHÒNG NGÂN SÁCH</t>
  </si>
  <si>
    <t>VII</t>
  </si>
  <si>
    <t>Đầu tư phát triển</t>
  </si>
  <si>
    <t>Kinh phí sự nghiệp</t>
  </si>
  <si>
    <t>Vốn ngoài nước</t>
  </si>
  <si>
    <t>Chia ra</t>
  </si>
  <si>
    <t>Số bổ sung thực hiện cải cách tiền lương</t>
  </si>
  <si>
    <t>Quyết toán</t>
  </si>
  <si>
    <t xml:space="preserve">Thu bổ sung từ ngân sách cấp trên </t>
  </si>
  <si>
    <t xml:space="preserve">Tổng chi cân đối NSĐP </t>
  </si>
  <si>
    <t>CHI TRẢ NỢ GỐC CỦA NSĐP</t>
  </si>
  <si>
    <t>TỔNG MỨC DƯ NỢ VAY CUỐI NĂM CỦA NSĐP</t>
  </si>
  <si>
    <t>Bổ sung cân đối ngân sách</t>
  </si>
  <si>
    <t>Bổ sung có mục tiêu</t>
  </si>
  <si>
    <t>TỔNG THU CÂN ĐỐI NSNN</t>
  </si>
  <si>
    <t xml:space="preserve">Thu phí, lệ phí </t>
  </si>
  <si>
    <t>Phí và lệ phí xã, phường</t>
  </si>
  <si>
    <t>Tiền cho thuê và tiền bán nhà ở thuộc sở hữu nhà nước</t>
  </si>
  <si>
    <t xml:space="preserve">Thu từ hoạt động xuất nhập khẩu </t>
  </si>
  <si>
    <t>Thuế tiêu thụ đặc biệt thu từ hàng hóa nhập khẩu</t>
  </si>
  <si>
    <t>Thuế bảo vệ môi trường thu từ hàng hóa nhập khẩu</t>
  </si>
  <si>
    <t>Thuế giá trị gia tăng thu từ hàng hóa nhập khẩu</t>
  </si>
  <si>
    <t>THU KẾT DƯ NĂM TRƯỚC</t>
  </si>
  <si>
    <t>THU CHUYỂN NGUỒN TỪ NĂM TRƯỚC CHUYỂN SANG</t>
  </si>
  <si>
    <t>TỔNG CHI NGÂN SÁCH ĐỊA PHƯƠNG</t>
  </si>
  <si>
    <t>CHI CÂN ĐỐI NGÂN SÁCH ĐỊA PHƯƠNG</t>
  </si>
  <si>
    <t xml:space="preserve">Chi đầu tư cho các dự án </t>
  </si>
  <si>
    <t>Chi CTMTQG</t>
  </si>
  <si>
    <t>Chi giáo dục đào tạo dạy nghề</t>
  </si>
  <si>
    <t>15= 4/1</t>
  </si>
  <si>
    <t>16= 5/2</t>
  </si>
  <si>
    <t>So sách (%)</t>
  </si>
  <si>
    <t>Gồm</t>
  </si>
  <si>
    <t>Vốn đầu tư để thực hiện các CTMT, nhiệm vụ</t>
  </si>
  <si>
    <t>Vốn sự nghiệp thực hiện các chế độ, chính sách</t>
  </si>
  <si>
    <t>Vốn thực hiện các CTMT quốc gia</t>
  </si>
  <si>
    <t>3=4+5</t>
  </si>
  <si>
    <t>11=12+13</t>
  </si>
  <si>
    <t>17=9/1</t>
  </si>
  <si>
    <t>19=11/3</t>
  </si>
  <si>
    <t>20=12/4</t>
  </si>
  <si>
    <t>21=13/5</t>
  </si>
  <si>
    <t>22=14/6</t>
  </si>
  <si>
    <t>23=15/7</t>
  </si>
  <si>
    <t>24=16/8</t>
  </si>
  <si>
    <t>Tổng thu NSĐP</t>
  </si>
  <si>
    <t>Thu NSĐP hưởng theo phân cấp</t>
  </si>
  <si>
    <t>Thu từ kết dư năm trước</t>
  </si>
  <si>
    <t>KẾT DƯ NSĐP</t>
  </si>
  <si>
    <t>Chi nộp ngân sách cấp trên</t>
  </si>
  <si>
    <t>Vay trung ương</t>
  </si>
  <si>
    <t>Thu viện trợ không hoàn lại</t>
  </si>
  <si>
    <t>Thu từ ngân sách cấp dưới nộp lên</t>
  </si>
  <si>
    <t>VIII</t>
  </si>
  <si>
    <t>Thu từ khu vực DNNN do trung ương quản lý</t>
  </si>
  <si>
    <t>- Thuế giá trị gia tăng</t>
  </si>
  <si>
    <t>- Thuế thu nhập doanh nghiệp</t>
  </si>
  <si>
    <t>- Thuế tiêu thụ đặc biệt</t>
  </si>
  <si>
    <t>- Thuế tài nguyên</t>
  </si>
  <si>
    <t>- Thuế môn bài</t>
  </si>
  <si>
    <t xml:space="preserve">Thu từ khu vực DNNN do địa phương quản lý </t>
  </si>
  <si>
    <t xml:space="preserve">Thu từ khu vực doanh nghiệp có vốn đầu tư nước ngoài </t>
  </si>
  <si>
    <t>- Tiền thuê mặt đất, mặt nước</t>
  </si>
  <si>
    <t xml:space="preserve">Thu từ khu vực kinh tế ngoài quốc doanh </t>
  </si>
  <si>
    <t>- Thu khác</t>
  </si>
  <si>
    <t>Thu từ hàng hóa sản xuất trong nước</t>
  </si>
  <si>
    <t>Phí và lệ phí tỉnh, huyện</t>
  </si>
  <si>
    <t>- Thuế thu nhập sau thuế</t>
  </si>
  <si>
    <t>Thuế bảo vệ môi trường do cơ quan hải quan thực hiện</t>
  </si>
  <si>
    <t>VAY CỦA NGÂN SÁCH NHÀ NƯỚC</t>
  </si>
  <si>
    <t>Chi  khác</t>
  </si>
  <si>
    <t>Văn phòng UBND tỉnh và đơn vị trực thuộc</t>
  </si>
  <si>
    <t>Sở Kế hoạch Đầu tư</t>
  </si>
  <si>
    <t>Ngành Tư pháp</t>
  </si>
  <si>
    <t>Ngành Công Thương</t>
  </si>
  <si>
    <t>Sở Nội vụ và các đơn vị trực thuộc</t>
  </si>
  <si>
    <t>Ngành khoa học Công nghệ</t>
  </si>
  <si>
    <t>Ngành Tài chính</t>
  </si>
  <si>
    <t>Ngành Lao động TBXH</t>
  </si>
  <si>
    <t>Ngành xây dựng</t>
  </si>
  <si>
    <t>Ngành Giao thông vận tải</t>
  </si>
  <si>
    <t>Sở Thông tin truyền thông</t>
  </si>
  <si>
    <t>Ngành Tài nguyên môi trường</t>
  </si>
  <si>
    <t>Ngành văn hóa thể thao Du lịch</t>
  </si>
  <si>
    <t>Thanh tra tỉnh</t>
  </si>
  <si>
    <t>Đài phát thanh truyền hình</t>
  </si>
  <si>
    <t>Ban Dân tộc</t>
  </si>
  <si>
    <t>BQL các khu công nghiệp</t>
  </si>
  <si>
    <t>Ngành nông nghiệp và PTNT</t>
  </si>
  <si>
    <t>VP Ban chỉ huy PCTT&amp;TKCN</t>
  </si>
  <si>
    <t>Trường chính trị</t>
  </si>
  <si>
    <t>Trường Cao đẳng y tế</t>
  </si>
  <si>
    <t>Trường Cao đẳng nghề</t>
  </si>
  <si>
    <t>Tỉnh ủy Bình Thuận</t>
  </si>
  <si>
    <t>Báo Bình Thuận</t>
  </si>
  <si>
    <t>Đoàn khối doanh nghiệp</t>
  </si>
  <si>
    <t>Hội khuyến học</t>
  </si>
  <si>
    <t>Hội nhà báo</t>
  </si>
  <si>
    <t>Hội cựu tù chính trị</t>
  </si>
  <si>
    <t>UB Mặt trận Tổ quốc Việt Nam</t>
  </si>
  <si>
    <t>Tỉnh Đoàn</t>
  </si>
  <si>
    <t>Hội Liên hiệp phụ nữ</t>
  </si>
  <si>
    <t>Hội cựu chiến binh</t>
  </si>
  <si>
    <t>Hội chữ thập đỏ</t>
  </si>
  <si>
    <t>Hội Luật gia</t>
  </si>
  <si>
    <t>Hội Đông y</t>
  </si>
  <si>
    <t>Hội người mù</t>
  </si>
  <si>
    <t>Hội Văn học nghệ thuật</t>
  </si>
  <si>
    <t>Câu lạc bộ Hưu trí tỉnh</t>
  </si>
  <si>
    <t>Hội nạn nhân chất độc DIOXIN</t>
  </si>
  <si>
    <t>Hội cựu thanh niên xung phong</t>
  </si>
  <si>
    <t>Hội Bảo trợ khuyết tật và trẻ mồ côi</t>
  </si>
  <si>
    <t>Chi công việc, nhiệm vụ khác</t>
  </si>
  <si>
    <t>CHI BỔ SUNG CÓ MỤC TIÊU CHO NGÂN SÁCH CẤP DƯỚI</t>
  </si>
  <si>
    <t>Chi trả nợ lãi do chính quyền địa phương vay</t>
  </si>
  <si>
    <t>Liên minh các HTX</t>
  </si>
  <si>
    <t>Ngân sách cấp tỉnh</t>
  </si>
  <si>
    <t xml:space="preserve">Chi bổ sung cho ngân sách cấp dưới </t>
  </si>
  <si>
    <t xml:space="preserve">Chi thuộc nhiệm vụ của ngân sách cấp huyện </t>
  </si>
  <si>
    <t>Thu hồi vốn, thu cổ tức</t>
  </si>
  <si>
    <t xml:space="preserve">Lợi nhuận được chia của Nhà nước và lợi nhuận sau thuế còn lại sau khi trích lập các quỹ của doanh nghiệp nhà nước </t>
  </si>
  <si>
    <t>CHI NỘP NGÂN SÁCH CẤP TRÊN</t>
  </si>
  <si>
    <t xml:space="preserve">Chi trả nợ lãi các khoản do chính quyền địa phương vay </t>
  </si>
  <si>
    <t xml:space="preserve">Chi bổ sung quỹ dự trữ tài chính </t>
  </si>
  <si>
    <t>Chi các Chương trình mục tiêu</t>
  </si>
  <si>
    <t>Chi các chương trình mục tiêu nhiệm vụ</t>
  </si>
  <si>
    <t xml:space="preserve">CHI BỔ SUNG CÂN ĐỐI CHO NGÂN SÁCH CẤP DƯỚI </t>
  </si>
  <si>
    <t>CHI NGÂN SÁCH CẤP TỈNH THEO LĨNH VỰC</t>
  </si>
  <si>
    <t>Chi trả nợ gốc từ nguồn bội thu, tăng thu, tiết kiệm, kết dư ngân sách cấp tỉnh</t>
  </si>
  <si>
    <t>Thành phố Phan Thiết</t>
  </si>
  <si>
    <t>Tuy Phong</t>
  </si>
  <si>
    <t>Bắc Bình</t>
  </si>
  <si>
    <t>Hàm Thuận Bắc</t>
  </si>
  <si>
    <t>Hàm Thuận Nam</t>
  </si>
  <si>
    <t>La Gi</t>
  </si>
  <si>
    <t>Hàm Tân</t>
  </si>
  <si>
    <t>Đức Linh</t>
  </si>
  <si>
    <t>Tánh Linh</t>
  </si>
  <si>
    <t>Phú Quý</t>
  </si>
  <si>
    <t>Chương trình MTQG xây dựng nông thôn mới</t>
  </si>
  <si>
    <t>Chương trình MTQG giảm nghèo bền vững</t>
  </si>
  <si>
    <t>Chương trình MTQG về y tế</t>
  </si>
  <si>
    <t>Chương trình mục tiêu tái cơ cấu kinh tế nông nghiệp và phòng chống giảm nhẹ thiên tai, ổn định đời sống dân cư</t>
  </si>
  <si>
    <t>Chương trình mục tiêu giáo dục nghề nghiệp, việc làm và an toàn lao động</t>
  </si>
  <si>
    <t>Vốn ngoài nước (ODA)</t>
  </si>
  <si>
    <t>Chương trình Biển đông Hải đảo</t>
  </si>
  <si>
    <t>Chương trình hồ chứa nước ngọt trên đảo đông dân cư</t>
  </si>
  <si>
    <t>Vốn trái phiếu chính phủ</t>
  </si>
  <si>
    <t xml:space="preserve"> </t>
  </si>
  <si>
    <t xml:space="preserve">CHI BỔ SUNG QUỸ DỰ TRỮ TÀI CHÍNH </t>
  </si>
  <si>
    <t>Chi chương
trình mục tiêu nhiệm vụ Trung ương giao</t>
  </si>
  <si>
    <t>CHI TRẢ NỢ LÃI CÁC KHOẢN DO CHÍNH QUYỀN ĐỊA PHƯƠNG VAY</t>
  </si>
  <si>
    <t>Chi chương trình mục tiêu quốc gia</t>
  </si>
  <si>
    <t>Chi bổ sung ngân sách cấp dưới</t>
  </si>
  <si>
    <t>Chương trình MTQG Giảm nghèo bền vững</t>
  </si>
  <si>
    <t>Chương trình MTQG Xây dựng Nông thôn mới</t>
  </si>
  <si>
    <t>Chương trình MTQG Dân số - Kế hoạch hóa gia đình</t>
  </si>
  <si>
    <t>NỘI DUNG</t>
  </si>
  <si>
    <t>SO SÁNH (%)</t>
  </si>
  <si>
    <t>Chi Giáo dục - đào tạo và dạy nghề
(490)</t>
  </si>
  <si>
    <t>Chi Phát thanh, truyền hình, thông tấn
(250)</t>
  </si>
  <si>
    <t>Chi Bảo vệ môi trường (280)</t>
  </si>
  <si>
    <t>13=4/1</t>
  </si>
  <si>
    <t>14=5/2</t>
  </si>
  <si>
    <t>15=6/3</t>
  </si>
  <si>
    <t>Các cơ quan đơn vị của Tỉnh</t>
  </si>
  <si>
    <t xml:space="preserve">Văn phòng HĐND tỉnh </t>
  </si>
  <si>
    <t>Văn phòng UBND Tỉnh và đơn vị trực thuộc</t>
  </si>
  <si>
    <t>2.1</t>
  </si>
  <si>
    <t xml:space="preserve">VP.UBND tỉnh </t>
  </si>
  <si>
    <t>2.2</t>
  </si>
  <si>
    <t>Trung tâm Hội Nghị</t>
  </si>
  <si>
    <t>2.3</t>
  </si>
  <si>
    <t>Trung tâm Thông tin</t>
  </si>
  <si>
    <t>Ngành Nông nghiệp &amp; PTNT</t>
  </si>
  <si>
    <t>1.1</t>
  </si>
  <si>
    <t>Văn phòng Sở</t>
  </si>
  <si>
    <t>3.2</t>
  </si>
  <si>
    <t>Trung tâm Giống cây trồng</t>
  </si>
  <si>
    <t>1.2</t>
  </si>
  <si>
    <t>Trung tâm NC PT cây thanh long</t>
  </si>
  <si>
    <t>1.3</t>
  </si>
  <si>
    <t>Trung tâm Khuyến nông</t>
  </si>
  <si>
    <t>3.5</t>
  </si>
  <si>
    <t>Trung tâm Giống vật nuôi</t>
  </si>
  <si>
    <t>1.4</t>
  </si>
  <si>
    <t xml:space="preserve">Chi cục Phát triển nông thôn </t>
  </si>
  <si>
    <t>1.5</t>
  </si>
  <si>
    <t>Văn phòng Điều phối CT MTQG xây dựng NTM</t>
  </si>
  <si>
    <t>1.6</t>
  </si>
  <si>
    <t>Chi cục Trồng trọt và Bảo vệ thực vật</t>
  </si>
  <si>
    <t>3.9</t>
  </si>
  <si>
    <t>Chi cục Chăn nuôi và Thú y</t>
  </si>
  <si>
    <t>3.10</t>
  </si>
  <si>
    <t>Chi cục Thủy lợi</t>
  </si>
  <si>
    <t>1.7</t>
  </si>
  <si>
    <t>Trung tâm Nước sạch &amp; VSMTNT</t>
  </si>
  <si>
    <t>3.47</t>
  </si>
  <si>
    <t>BQL Khu BT biển Hòn Cau</t>
  </si>
  <si>
    <t>3.48</t>
  </si>
  <si>
    <t>Trung tâm Giống nông nghiệp</t>
  </si>
  <si>
    <t>Ngành Kế hoạch Đầu tư</t>
  </si>
  <si>
    <t>4.1</t>
  </si>
  <si>
    <t>Sở KH&amp;ĐT</t>
  </si>
  <si>
    <t>4.2</t>
  </si>
  <si>
    <t>Trung tâm HTDNNVV</t>
  </si>
  <si>
    <t>5.1</t>
  </si>
  <si>
    <t>5.2</t>
  </si>
  <si>
    <t>Trung tâm TGPL</t>
  </si>
  <si>
    <t>5.3</t>
  </si>
  <si>
    <t>Trung tâm Dịch vụ bán đấu giá</t>
  </si>
  <si>
    <t>Ngành Công thương</t>
  </si>
  <si>
    <t>6.1</t>
  </si>
  <si>
    <t>6.2</t>
  </si>
  <si>
    <t xml:space="preserve"> Chi cục quản lý thị trường tỉnh </t>
  </si>
  <si>
    <t>6.3</t>
  </si>
  <si>
    <t xml:space="preserve"> Trung tâm Xúc tiến thương mại tỉnh </t>
  </si>
  <si>
    <t xml:space="preserve">Ngành Khoa học Công nghệ </t>
  </si>
  <si>
    <t>7.1</t>
  </si>
  <si>
    <t xml:space="preserve">Văn phòng Sở </t>
  </si>
  <si>
    <t>8.1</t>
  </si>
  <si>
    <t>8.2</t>
  </si>
  <si>
    <t>Trung tâm Mua TS công</t>
  </si>
  <si>
    <t>Ngành Xây dựng</t>
  </si>
  <si>
    <t>9.1</t>
  </si>
  <si>
    <t>9.2</t>
  </si>
  <si>
    <t xml:space="preserve"> Thanh tra Sở Xây dựng </t>
  </si>
  <si>
    <t>9.3</t>
  </si>
  <si>
    <t>Trung tâm kiểm định xây dựng</t>
  </si>
  <si>
    <t>Ngành Giao thông Vận tải (có Ban ATGT)</t>
  </si>
  <si>
    <t>10.1</t>
  </si>
  <si>
    <t>10.2</t>
  </si>
  <si>
    <t>Thanh tra Sở Giao thông Vận tải</t>
  </si>
  <si>
    <t>10.3</t>
  </si>
  <si>
    <t>Ban Quản lý Cảng Phú Quý</t>
  </si>
  <si>
    <t>10.4</t>
  </si>
  <si>
    <t>Trung tâm Đăng kiểm xe cơ giới</t>
  </si>
  <si>
    <t>10.5</t>
  </si>
  <si>
    <t>Trung tâm QLDA và TVXD  công trình GT Bthuan</t>
  </si>
  <si>
    <t>10.6</t>
  </si>
  <si>
    <t>11.2</t>
  </si>
  <si>
    <t>THPT Phan Bội Châu</t>
  </si>
  <si>
    <t>11.3</t>
  </si>
  <si>
    <t xml:space="preserve">THPT Trần Hưng Đạo </t>
  </si>
  <si>
    <t>11.4</t>
  </si>
  <si>
    <t xml:space="preserve">THPT Hòa Đa </t>
  </si>
  <si>
    <t>11.5</t>
  </si>
  <si>
    <t xml:space="preserve">THPT Tuy Phong </t>
  </si>
  <si>
    <t>11.6</t>
  </si>
  <si>
    <t xml:space="preserve">THPT Bắc Bình </t>
  </si>
  <si>
    <t>11.7</t>
  </si>
  <si>
    <t xml:space="preserve">THPT Nguyễn Thị Minh Khai </t>
  </si>
  <si>
    <t>11.8</t>
  </si>
  <si>
    <t xml:space="preserve">THPT Hàm Thuận Bắc </t>
  </si>
  <si>
    <t>11.9</t>
  </si>
  <si>
    <t xml:space="preserve">THPT Hàm Thuận Nam </t>
  </si>
  <si>
    <t>11.10</t>
  </si>
  <si>
    <t xml:space="preserve">THPT Nguyễn Văn Linh </t>
  </si>
  <si>
    <t>11.11</t>
  </si>
  <si>
    <t>THPT Lương Thế Vinh</t>
  </si>
  <si>
    <t>11.12</t>
  </si>
  <si>
    <t xml:space="preserve">THPT Nguyễn Trường Tộ </t>
  </si>
  <si>
    <t>11.13</t>
  </si>
  <si>
    <t xml:space="preserve">THPT Đức Tân </t>
  </si>
  <si>
    <t>11.14</t>
  </si>
  <si>
    <t xml:space="preserve">THPT Hàm Tân </t>
  </si>
  <si>
    <t>11.15</t>
  </si>
  <si>
    <t xml:space="preserve">THPT Bùi Thị Xuân </t>
  </si>
  <si>
    <t>11.16</t>
  </si>
  <si>
    <t xml:space="preserve">THPT Lý Thường Kiệt </t>
  </si>
  <si>
    <t>11.17</t>
  </si>
  <si>
    <t xml:space="preserve">THPT Đức Linh </t>
  </si>
  <si>
    <t>11.18</t>
  </si>
  <si>
    <t xml:space="preserve">THPT Quang Trung </t>
  </si>
  <si>
    <t>11.19</t>
  </si>
  <si>
    <t xml:space="preserve">THPT Hùng Vương </t>
  </si>
  <si>
    <t>11.20</t>
  </si>
  <si>
    <t xml:space="preserve">THPT Tánh Linh </t>
  </si>
  <si>
    <t>11.21</t>
  </si>
  <si>
    <t xml:space="preserve">THPT Nguyễn Văn Trỗi </t>
  </si>
  <si>
    <t>11.22</t>
  </si>
  <si>
    <t xml:space="preserve">THPT Phan Thiết </t>
  </si>
  <si>
    <t>11.23</t>
  </si>
  <si>
    <t xml:space="preserve">THPT Ngô Quyền </t>
  </si>
  <si>
    <t>11.24</t>
  </si>
  <si>
    <t xml:space="preserve">THPT Phan Chu Trinh </t>
  </si>
  <si>
    <t>11.25</t>
  </si>
  <si>
    <t>THPT Nguyễn Huệ</t>
  </si>
  <si>
    <t>11.26</t>
  </si>
  <si>
    <t xml:space="preserve">THPT Huỳnh Thúc Kháng </t>
  </si>
  <si>
    <t>11.27</t>
  </si>
  <si>
    <t>PTDân tộc nội trú</t>
  </si>
  <si>
    <t>11.28</t>
  </si>
  <si>
    <t xml:space="preserve"> Trường Cao đẳng Cộng đồng </t>
  </si>
  <si>
    <t>3.1</t>
  </si>
  <si>
    <t>Chi cục dân số - KHHGĐ</t>
  </si>
  <si>
    <t>12.2</t>
  </si>
  <si>
    <t>Chi cục An toàn VSTP</t>
  </si>
  <si>
    <t>Ngành LĐ, TB&amp;XH</t>
  </si>
  <si>
    <t>Trung tâm Dịch vụ việc làm</t>
  </si>
  <si>
    <t>13.3</t>
  </si>
  <si>
    <t>Trung tâm Hỗ trợ người lang thang</t>
  </si>
  <si>
    <t>Ngành Văn hoá, Thể thao và Du lịch</t>
  </si>
  <si>
    <t>14.2</t>
  </si>
  <si>
    <t>Trung tâm Văn hóa</t>
  </si>
  <si>
    <t>14.3</t>
  </si>
  <si>
    <t>Trung tâm Phát hành phim và Chiếu bóng</t>
  </si>
  <si>
    <t>Ngành Tài nguyên và Môi trường</t>
  </si>
  <si>
    <t>15.1</t>
  </si>
  <si>
    <t xml:space="preserve">Ngành Thông tin và Truyền thông </t>
  </si>
  <si>
    <t>Sở Nội vụ</t>
  </si>
  <si>
    <t>17.2</t>
  </si>
  <si>
    <t>Ban Thi đua Khen thưởng</t>
  </si>
  <si>
    <t>Thanh tra Tỉnh</t>
  </si>
  <si>
    <t>Văn phòng Ban</t>
  </si>
  <si>
    <t xml:space="preserve"> VP. Ủy ban Mặt trận TQ tỉnh </t>
  </si>
  <si>
    <t>Trường Cao Y tế</t>
  </si>
  <si>
    <t>Quỹ Bảo trì đường bộ</t>
  </si>
  <si>
    <t>Huyện Tuy Phong</t>
  </si>
  <si>
    <t>Huyện Bắc Bình</t>
  </si>
  <si>
    <t>Huyện Hàm Thuận Bắc</t>
  </si>
  <si>
    <t>Huyện Hàm Thuận Nam</t>
  </si>
  <si>
    <t>Thị xã La Gi</t>
  </si>
  <si>
    <t>Huyện Hàm Tân</t>
  </si>
  <si>
    <t>Huyện Đức Linh</t>
  </si>
  <si>
    <t>Huyện Tánh Linh</t>
  </si>
  <si>
    <t>Huyện Phú Quý</t>
  </si>
  <si>
    <t>17=8/3</t>
  </si>
  <si>
    <t xml:space="preserve">Nội dung </t>
  </si>
  <si>
    <t>4=5+8+11+14</t>
  </si>
  <si>
    <t xml:space="preserve">Tên đơn vị </t>
  </si>
  <si>
    <t>Phan Thiết</t>
  </si>
  <si>
    <t>Ban đại diện người cao tuổi</t>
  </si>
  <si>
    <t>Đơn vị khác</t>
  </si>
  <si>
    <t>Thu từ
ngân sách
cấp dưới
nộp lên</t>
  </si>
  <si>
    <t xml:space="preserve">                                                                                                                                                                                                                        Đvt: triệu đồng</t>
  </si>
  <si>
    <t>TỔNG NGUỒN THU NSNN (A+B+C+D+E+F)</t>
  </si>
  <si>
    <t xml:space="preserve">C </t>
  </si>
  <si>
    <t>THU BỔ SUNG NGÂN SÁCH CẤP TRÊN</t>
  </si>
  <si>
    <t>F</t>
  </si>
  <si>
    <t>THU TỪ NGÂN SÁCH CẤP DƯỚI NỘP LÊN</t>
  </si>
  <si>
    <t>Kết dư ngân sách cấp tỉnh</t>
  </si>
  <si>
    <t>Kết dư ngân sách huyện, thị xã, thành phố</t>
  </si>
  <si>
    <t>Nguồn thu ngân sách cấp tỉnh</t>
  </si>
  <si>
    <r>
      <t xml:space="preserve">Chi đầu tư phát triển </t>
    </r>
    <r>
      <rPr>
        <sz val="8"/>
        <rFont val="Times New Roman"/>
        <family val="1"/>
      </rPr>
      <t>(Không kể chương trình MTQG)</t>
    </r>
  </si>
  <si>
    <r>
      <t xml:space="preserve">Chi thường xuyên </t>
    </r>
    <r>
      <rPr>
        <sz val="8"/>
        <rFont val="Times New Roman"/>
        <family val="1"/>
      </rPr>
      <t>(Không kể chương trình MTQG)</t>
    </r>
  </si>
  <si>
    <t>Ngành giáo dục đào tạo (có trường CĐCĐ)</t>
  </si>
  <si>
    <t>Thu khác</t>
  </si>
  <si>
    <t>Thu hồi vốn, lợi nhuận, lợi nhuận sau thuế</t>
  </si>
  <si>
    <t>Chương trình MTQG về văn hoá</t>
  </si>
  <si>
    <t>Chương trình mục tiêu phát triển kinh tế - xã hội các vùng</t>
  </si>
  <si>
    <t>Chương trình mục tiêu phát triển kinh tế thuỷ sản bền vững</t>
  </si>
  <si>
    <t>Hỗ trợ các hội văn học nghệ thuật</t>
  </si>
  <si>
    <t>Hỗ trợ các Hội Nhà báo</t>
  </si>
  <si>
    <t xml:space="preserve">Kinh phí thực hiện nhiệm vụ đảm bảo trật tự an toàn giao thông </t>
  </si>
  <si>
    <t xml:space="preserve">Chương trình mục tiêu phát triển hệ thống trợ giúp xã hội </t>
  </si>
  <si>
    <t>Chương trình mục tiêu phát triển văn hoá</t>
  </si>
  <si>
    <t xml:space="preserve">      </t>
  </si>
  <si>
    <t>Ngành Kế hoạch và Đầu tư</t>
  </si>
  <si>
    <t>Chi trả nợ gốc</t>
  </si>
  <si>
    <t>Hỗ trợ thực hiện một số Đề án, Dự án khoa học và công nghệ</t>
  </si>
  <si>
    <t xml:space="preserve">Kinh phí quản lý, bảo trì đường bộ địa phương </t>
  </si>
  <si>
    <t xml:space="preserve">Chương trình mục tiêu y tế - Dân số </t>
  </si>
  <si>
    <t xml:space="preserve">Chương trình mục tiêu đảm bảo trật tự ATGT, phòng cháy chữa cháy, phòng chống tội phạm và ma túy  </t>
  </si>
  <si>
    <t>Chương trình mục tiêu ứng phó với biến đổi khí hậu và tăng trưởng xanh</t>
  </si>
  <si>
    <t>QUYẾT TOÁN CHI BỔ SUNG TỪ NGÂN SÁCH CẤP TỈNH CHO NGÂN SÁCH TỪNG HUYỆN NĂM 2020</t>
  </si>
  <si>
    <t>Dự toán năm 2020</t>
  </si>
  <si>
    <t>QUYẾT TOÁN CHI CHƯƠNG TRÌNH MỤC TIÊU QUỐC GIA NĂM 2020</t>
  </si>
  <si>
    <t>DỰ TOÁN 2020</t>
  </si>
  <si>
    <t xml:space="preserve"> Ủy ban Mặt trận tổ quốc tỉnh</t>
  </si>
  <si>
    <t>Ngành Y tế (bao gồm Hội KHHGĐ)</t>
  </si>
  <si>
    <t>QUYẾT TOÁN CHI NGÂN SÁCH CẤP TỈNH CHO TỪNG CƠ QUAN, TỔ CHỨC THEO LĨNH VỰC NĂM 2020</t>
  </si>
  <si>
    <t>CHI TỪ NGUỒN BỘI THU NSĐP</t>
  </si>
  <si>
    <t>Chi từ nguồn bội thu NSĐP</t>
  </si>
  <si>
    <t>Hội Nông dân (bao gồm Trung tâm dạy nghề và hỗ trợ nông dân)</t>
  </si>
  <si>
    <t>Văn phòng Đoàn ĐBQH và HĐND tỉnh</t>
  </si>
  <si>
    <t>Ngành y tế (bao gồm Hội KHHGĐ)</t>
  </si>
  <si>
    <t>Liên hiệp các hội khoa học KT (bao gồm GTGC)</t>
  </si>
  <si>
    <t>22=7/1</t>
  </si>
  <si>
    <t>23=12/2</t>
  </si>
  <si>
    <t>24=13/3</t>
  </si>
  <si>
    <t>Chi nộp ngân sáh cấp trên</t>
  </si>
  <si>
    <t>QUYẾT TOÁN CHI NGÂN SÁCH CẤP TỈNH THEO LĨNH VỰC NĂM 2020</t>
  </si>
  <si>
    <t>QUYẾT TOÁN CHI NGÂN SÁCH ĐỊA PHƯƠNG THEO LĨNH VỰC NĂM 2020</t>
  </si>
  <si>
    <t>Thu hồi các dự án không thuộc các chương trình mục tiêu quy định tại Nghị quyết số 1023/NQ-UBTVQH13 và QĐ số 40/2015/QĐ-TTg</t>
  </si>
  <si>
    <t>Vốn bổ sung thu hồi các khoản ứng trước</t>
  </si>
  <si>
    <t>Chương trình mục tiêu đầu tư phát triển hệ thống y tế địa phương</t>
  </si>
  <si>
    <t>Hỗ trợ đồng bào dân tộc miền núi theo Quyết định số 2085/QĐ-TTg</t>
  </si>
  <si>
    <t>Hỗ trợ hạ tầng vùng đồng bào dân tộc theo kết luận của Thanh tra Ủy ban dân tộc</t>
  </si>
  <si>
    <t>Vốn dự phòng ngân sách Trung ương</t>
  </si>
  <si>
    <t>Nguồn thu phí môi trường dầu thô và khí tự nhiên</t>
  </si>
  <si>
    <t>Chính sách trợ giúp pháp lý</t>
  </si>
  <si>
    <t xml:space="preserve">Chương trình mục tiêu công nghệ thông tin </t>
  </si>
  <si>
    <t>Kinh phí hỗ trợ khôi phục sản xuất vùng bị thiệt hại do thiên tai gây ra theo Công văn số 12279/BTC-NSNN ngày 07/10/2020</t>
  </si>
  <si>
    <t>Kinh phí tổ chức Đại hội Đảng các cấp năm 2020 theo Công văn số 425/BTC-NSNN ngày 08/4/2020</t>
  </si>
  <si>
    <t>Kinh phí thực hiện chính sách bảo trợ xã hội và chính sách hỗ trợ tiền điện hộ cho hộ nghèo, hộ chính sách xã hội từ năm 2019 trở về trước theo Công văn số 5041/BTC-NSNN ngày 24/4/2020</t>
  </si>
  <si>
    <t>Kinh phí phòng, chống dịch và hỗ trợ người dân gặp khó khăn do đại dịch Covid-19 theo Công văn số 10443/BTC-NSNN ngày 28/8/2020</t>
  </si>
  <si>
    <t>Chương trình mục tiêu Phát triển lâm nghiệp bền vững</t>
  </si>
  <si>
    <t>QUYẾT TOÁN CÂN ĐỐI NGUỒN THU, CHI NGÂN SÁCH CẤP TỈNH VÀ NGÂN SÁCH HUYỆN, THỊ XÃ, THÀNH PHỐ NĂM 2020</t>
  </si>
  <si>
    <t>Chi từ nguồn bội thu</t>
  </si>
  <si>
    <t>QUYẾT TOÁN NGUỒN THU NGÂN SÁCH NHÀ NƯỚC TRÊN ĐỊA BÀN THEO LĨNH VỰC NĂM 2020</t>
  </si>
  <si>
    <t>Trong đó: - Thu từ hàng hóa nhập khẩu</t>
  </si>
  <si>
    <t>Thu từ khoản vay của nhà nước và thu từ quỹ dự trữ tài chính</t>
  </si>
  <si>
    <t xml:space="preserve">Kinh phí thực hiện chính sách đo đạc theo Công văn số 16108/BTC-NSNN ngày 31/12/2019 </t>
  </si>
  <si>
    <t>QUYẾT TOÁN CHI NGÂN SÁCH ĐỊA PHƯƠNG, CHI NGÂN SÁCH CẤP TỈNH  VÀ CHI NGÂN SÁCH HUYỆN 
THEO CƠ CẤU CHI NĂM 2020</t>
  </si>
  <si>
    <t>Kinh phí tiêu hủy lợn và hỗ trợ lực lượng tham gia phòng chống bệnh dịch tả lợn Châu phi năm 2019 theo Công văn số 6596/BTC-NSNN ngày 03/6/2020</t>
  </si>
  <si>
    <t>QUYẾT TOÁN CÂN ĐỐI NGÂN SÁCH ĐỊA PHƯƠNG NĂM 2020</t>
  </si>
  <si>
    <t>QUYẾT TOÁN CHI NGÂN SÁCH ĐỊA PHƯƠNG TỪNG HUYỆN, THỊ XÃ, THÀNH PHỐ NĂM 2020</t>
  </si>
  <si>
    <t>QUYẾT TOÁN THU NGÂN SÁCH HUYỆN NĂM 2020</t>
  </si>
  <si>
    <t>TỔNG HỢP THU DỊCH VỤ CỦA ĐƠN VỊ SỰ NGHIỆP CÔNG NĂM 2020 
(KHÔNG BAO GỒM NGUỒN NGÂN SÁCH NHÀ NƯỚC)</t>
  </si>
  <si>
    <t>Kế hoạch 
năm 2020</t>
  </si>
  <si>
    <t>Thực hiện
 năm 2020</t>
  </si>
  <si>
    <t>Số báo trực tiếp cho KTNN (tổ 10)</t>
  </si>
  <si>
    <t>Lệch</t>
  </si>
  <si>
    <t>NS cấp dư (+)/thiếu (-)</t>
  </si>
  <si>
    <t>Sự nghiệp …</t>
  </si>
  <si>
    <t>Ngành….</t>
  </si>
  <si>
    <t>Đơn vị….</t>
  </si>
  <si>
    <t>Sự nghiệp giáo dục - đào tạo và dạy nghề</t>
  </si>
  <si>
    <t>- Sự nghiệp giáo dục</t>
  </si>
  <si>
    <t>- Sự nghiệp đào tạo và dạy nghề</t>
  </si>
  <si>
    <t>Sự nghiệp khoa học và công nghệ</t>
  </si>
  <si>
    <t>Sự nghiệp Y tế</t>
  </si>
  <si>
    <t>Sự nghiệp văn hóa thông tin</t>
  </si>
  <si>
    <t>Sự nghiệp thông tin và truyền thông</t>
  </si>
  <si>
    <t>Sự nghiệp thể dục thể thao</t>
  </si>
  <si>
    <t>Sự nghiệp kinh tế</t>
  </si>
  <si>
    <t>Sự nghiệp môi trường</t>
  </si>
  <si>
    <t>Sự nghiệp khác</t>
  </si>
  <si>
    <t>Dự phòng</t>
  </si>
  <si>
    <t>Số bổ sung từ ngân sách cấp trên</t>
  </si>
  <si>
    <t>Đơn vị: Triệu đồng.</t>
  </si>
  <si>
    <t>Số
TT</t>
  </si>
  <si>
    <t>18=
10/2</t>
  </si>
  <si>
    <t>Ngành Giáo dục Đào tạo (có Trường Cao đẳng Cộng đồng)</t>
  </si>
  <si>
    <t>Đơn vị tính: Triệu đồng.</t>
  </si>
  <si>
    <t>Chi Y tế, dân số và gia đình (520, trừ 1 số khoản)</t>
  </si>
  <si>
    <t>Chi Văn hóa thông tin (550, trừ 1 số khoản)</t>
  </si>
  <si>
    <t>Chi Thể dục thể thao (550-562)</t>
  </si>
  <si>
    <t xml:space="preserve">Chi các hoạt động kinh tế (010, 070,160,  220, 430) </t>
  </si>
  <si>
    <t>Chi hoạt động của các cơ quan quản lý nhà nước, đảng, đoàn thể (460, trừ 1 số khoản)</t>
  </si>
  <si>
    <t>Chi Bảo đảm xã hội
(460-474, 520-527; 520-528; 520-531; 520-533)</t>
  </si>
  <si>
    <r>
      <t xml:space="preserve">Ban An toàn Giao thông
</t>
    </r>
    <r>
      <rPr>
        <sz val="10"/>
        <rFont val="Times New Roman"/>
        <family val="1"/>
      </rPr>
      <t>(không khoán chi)</t>
    </r>
  </si>
  <si>
    <t xml:space="preserve">                                                        </t>
  </si>
  <si>
    <t xml:space="preserve">             </t>
  </si>
  <si>
    <t xml:space="preserve">                               </t>
  </si>
  <si>
    <r>
      <rPr>
        <b/>
        <sz val="12"/>
        <rFont val="Times New Roman"/>
        <family val="1"/>
      </rPr>
      <t xml:space="preserve">                                                   </t>
    </r>
    <r>
      <rPr>
        <sz val="12"/>
        <rFont val="Times New Roman"/>
        <family val="1"/>
      </rPr>
      <t xml:space="preserve">
</t>
    </r>
  </si>
  <si>
    <t>Vốn ngoài nước (vốn vay của Chương trình mở rộng quy mô vệ sinh nước sách nông thôn theo phương thức dựa trên kết quả, thực hiện GTGC theo tiến độ giải ngân và trong phạm vi dự toán được giao)</t>
  </si>
  <si>
    <t>Bổ sung theo Nghị quyết số 797/NQ-UBTVQH14</t>
  </si>
  <si>
    <t>Thực hiện chính sách định canh định cư (Quyết định số 33/2013/QĐ-TTg)</t>
  </si>
  <si>
    <t>Kinh phí tiêu hủy lợn và hỗ trợ lực lượng tham gia phòng chống bệnh dịch tả lợn Châu phi năm 2019 theo Công văn số 16596/BTC-NSNN ngày 24/10/2019 và Công văn số 16127/BTC-NSNN ngày 31/12/2019</t>
  </si>
  <si>
    <t xml:space="preserve">                                      Đơn vị: Triệu đồng</t>
  </si>
  <si>
    <t>(Ban hành kèm theo Nghị quyết số  55 /NQ-HĐND 
ngày 08 tháng 12 năm 2021 của Hội đồng nhân dân tỉnh Bình Thuận)</t>
  </si>
  <si>
    <t>(Ban hành kèm theo Nghị quyết số 55/NQ-HĐND 
ngày 08 tháng 12 năm 2021 của Hội đồng nhân dân tỉnh Bình Thuận)</t>
  </si>
  <si>
    <t>( Ban hành kèm theoNghị quyết số 55/NQ-HĐND ngày 08 tháng  12 năm 2021 của Hội đồng nhân dân tỉnh Bình Thuận)</t>
  </si>
  <si>
    <t>(Ban hành kèm theo Nghị quyết số 55 /NQ-HĐND 
ngày 08 tháng 12 năm 2021 của Hội đồng nhân dân tỉnh Bình Thuận)</t>
  </si>
  <si>
    <t>(Ban hành kèm theo Nghị quyết số  55  /NQ-HĐND ngày 08 tháng  12  năm 2021 của Hội đồng nhân dân tỉnh Bình Thuận )</t>
  </si>
  <si>
    <t>(Ban hành kèm theo Nghị quyết số 55/NQ-HĐND ngày  08  tháng  12 năm 2021 của Hội đồng nhân dân tỉnh Bình Thuận)</t>
  </si>
  <si>
    <t>(Ban hành kèm theo Nghị quyết số   55/NQ-HĐND ngày 08 tháng 12  năm 2021 của Hội đồng nhân dân tỉnh Bình Thuận)</t>
  </si>
  <si>
    <t>(Ban hành kèm theoNghị quyết số 55 /NQ-HĐND ngày  08  tháng  12  năm 2021 của Hội đồng nhân dân tỉnh Bình Thuận)</t>
  </si>
  <si>
    <t>(Ban hành kèm theo Nghị quyết số 55/NQ-HĐND 
ngày 08 tháng 12  năm 2021 của Hội đồng nhân dân tỉnh Bình Thuận)</t>
  </si>
  <si>
    <t>(Ban hành kèm theo Nghị quyết số  55/NQ-HĐND ngày 08 tháng 12  năm 2021 của Hội đồng nhân dân tỉnh Bình Thuận)</t>
  </si>
  <si>
    <t>(Ban hành kèm theo Nghị quyết số  55/NQ-HĐND 
ngày 08 tháng 12  năm 2021 của Hội đồng nhân dân tỉnh Bình Thuận)</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</si>
</sst>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color theme="1"/>
      <name val="Calibri"/>
      <family val="2"/>
      <charset val="163"/>
      <scheme val="minor"/>
    </font>
    <font>
      <sz val="11"/>
      <color theme="1"/>
      <name val="Calibri"/>
      <family val="2"/>
      <scheme val="minor"/>
    </font>
    <font>
      <sz val="11"/>
      <color theme="1"/>
      <name val="Times New Roman"/>
      <family val="1"/>
    </font>
    <font>
      <b/>
      <sz val="12"/>
      <color rgb="FF000000"/>
      <name val="Times New Roman"/>
      <family val="1"/>
    </font>
    <font>
      <i/>
      <sz val="12"/>
      <color rgb="FF000000"/>
      <name val="Times New Roman"/>
      <family val="1"/>
    </font>
    <font>
      <sz val="12"/>
      <color rgb="FF000000"/>
      <name val="Times New Roman"/>
      <family val="1"/>
    </font>
    <font>
      <b/>
      <i/>
      <sz val="12"/>
      <color rgb="FF000000"/>
      <name val="Times New Roman"/>
      <family val="1"/>
    </font>
    <font>
      <sz val="12"/>
      <color theme="1"/>
      <name val="Times New Roman"/>
      <family val="1"/>
    </font>
    <font>
      <b/>
      <sz val="12"/>
      <color rgb="FF000000"/>
      <name val="Times New Roman"/>
      <family val="1"/>
      <charset val="163"/>
    </font>
    <font>
      <sz val="12"/>
      <color rgb="FF000000"/>
      <name val="Times New Roman"/>
      <family val="1"/>
      <charset val="163"/>
    </font>
    <font>
      <b/>
      <sz val="11"/>
      <color theme="1"/>
      <name val="Cambria"/>
      <family val="1"/>
      <charset val="163"/>
      <scheme val="major"/>
    </font>
    <font>
      <b/>
      <sz val="12"/>
      <color theme="1"/>
      <name val="Cambria"/>
      <family val="1"/>
      <charset val="163"/>
      <scheme val="major"/>
    </font>
    <font>
      <i/>
      <sz val="12"/>
      <color rgb="FF000000"/>
      <name val="Times New Roman"/>
      <family val="1"/>
      <charset val="163"/>
    </font>
    <font>
      <i/>
      <sz val="12"/>
      <name val="Times New Roman"/>
      <family val="1"/>
      <charset val="163"/>
    </font>
    <font>
      <b/>
      <sz val="8"/>
      <color rgb="FF000000"/>
      <name val="Times New Roman"/>
      <family val="1"/>
    </font>
    <font>
      <sz val="8"/>
      <color rgb="FF000000"/>
      <name val="Times New Roman"/>
      <family val="1"/>
    </font>
    <font>
      <sz val="8"/>
      <color theme="1"/>
      <name val="Times New Roman"/>
      <family val="1"/>
    </font>
    <font>
      <b/>
      <i/>
      <sz val="10"/>
      <color rgb="FF000000"/>
      <name val="Times New Roman"/>
      <family val="1"/>
    </font>
    <font>
      <b/>
      <sz val="12"/>
      <color theme="1"/>
      <name val="Times New Roman"/>
      <family val="1"/>
      <charset val="163"/>
    </font>
    <font>
      <sz val="12"/>
      <color theme="1"/>
      <name val="Cambria"/>
      <family val="1"/>
      <charset val="163"/>
      <scheme val="major"/>
    </font>
    <font>
      <b/>
      <sz val="8"/>
      <name val="Times New Roman"/>
      <family val="1"/>
    </font>
    <font>
      <sz val="8"/>
      <name val="Times New Roman"/>
      <family val="1"/>
    </font>
    <font>
      <i/>
      <sz val="8"/>
      <name val="Times New Roman"/>
      <family val="1"/>
    </font>
    <font>
      <b/>
      <sz val="12"/>
      <color theme="1"/>
      <name val="Times New Roman"/>
      <family val="1"/>
    </font>
    <font>
      <i/>
      <sz val="12"/>
      <name val="Times New Roman"/>
      <family val="1"/>
    </font>
    <font>
      <sz val="13"/>
      <name val="Times New Roman"/>
      <family val="1"/>
    </font>
    <font>
      <b/>
      <u/>
      <sz val="13"/>
      <name val="Times New Roman"/>
      <family val="1"/>
    </font>
    <font>
      <b/>
      <sz val="12"/>
      <name val="Times New Roman"/>
      <family val="1"/>
    </font>
    <font>
      <sz val="10"/>
      <name val="Times New Roman"/>
      <family val="1"/>
    </font>
    <font>
      <sz val="9"/>
      <name val="Times New Roman"/>
      <family val="1"/>
    </font>
    <font>
      <b/>
      <sz val="9"/>
      <name val="Times New Roman"/>
      <family val="1"/>
    </font>
    <font>
      <b/>
      <sz val="11"/>
      <name val="Times New Roman"/>
      <family val="1"/>
    </font>
    <font>
      <sz val="12"/>
      <name val="Times New Roman"/>
      <family val="1"/>
    </font>
    <font>
      <b/>
      <sz val="8"/>
      <color theme="1"/>
      <name val="Times New Roman"/>
      <family val="1"/>
    </font>
    <font>
      <b/>
      <i/>
      <sz val="12"/>
      <name val="Times New Roman"/>
      <family val="1"/>
    </font>
    <font>
      <b/>
      <sz val="9"/>
      <color indexed="81"/>
      <name val="Tahoma"/>
      <family val="2"/>
    </font>
    <font>
      <sz val="9"/>
      <color indexed="81"/>
      <name val="Tahoma"/>
      <family val="2"/>
    </font>
    <font>
      <sz val="12"/>
      <color theme="1"/>
      <name val="Calibri"/>
      <family val="2"/>
      <charset val="163"/>
      <scheme val="minor"/>
    </font>
    <font>
      <sz val="12"/>
      <name val="Times New Roman"/>
      <family val="1"/>
      <charset val="163"/>
    </font>
    <font>
      <sz val="12"/>
      <name val="Calibri"/>
      <family val="2"/>
      <charset val="163"/>
      <scheme val="minor"/>
    </font>
    <font>
      <sz val="11"/>
      <name val="Calibri"/>
      <family val="2"/>
      <charset val="163"/>
      <scheme val="minor"/>
    </font>
    <font>
      <i/>
      <sz val="8"/>
      <color rgb="FF000000"/>
      <name val="Times New Roman"/>
      <family val="1"/>
    </font>
    <font>
      <b/>
      <sz val="9"/>
      <color rgb="FF000000"/>
      <name val="Times New Roman"/>
      <family val="1"/>
    </font>
    <font>
      <i/>
      <sz val="9"/>
      <color rgb="FF000000"/>
      <name val="Times New Roman"/>
      <family val="1"/>
    </font>
    <font>
      <b/>
      <sz val="10"/>
      <name val="Times New Roman"/>
      <family val="1"/>
    </font>
    <font>
      <i/>
      <sz val="10"/>
      <name val="Times New Roman"/>
      <family val="1"/>
    </font>
    <font>
      <b/>
      <sz val="12"/>
      <name val="Times New Roman"/>
      <family val="1"/>
      <charset val="163"/>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278">
    <xf numFmtId="0" fontId="0" fillId="0" borderId="0" xfId="0"/>
    <xf numFmtId="0" fontId="3" fillId="0" borderId="0" xfId="0" applyFont="1" applyAlignment="1">
      <alignment horizontal="right" vertical="center"/>
    </xf>
    <xf numFmtId="0" fontId="4" fillId="0" borderId="0" xfId="0" applyFont="1" applyAlignment="1">
      <alignment horizontal="right" vertical="center"/>
    </xf>
    <xf numFmtId="0" fontId="6" fillId="0" borderId="0" xfId="0" applyFont="1" applyAlignment="1">
      <alignment horizontal="left" vertical="center"/>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0" fillId="0" borderId="0" xfId="0" applyFont="1"/>
    <xf numFmtId="0" fontId="0" fillId="0" borderId="0" xfId="0" applyAlignment="1">
      <alignment horizontal="left"/>
    </xf>
    <xf numFmtId="0" fontId="3" fillId="0" borderId="1" xfId="0" applyFont="1" applyBorder="1" applyAlignment="1">
      <alignment vertical="center" wrapText="1"/>
    </xf>
    <xf numFmtId="3" fontId="5" fillId="0" borderId="1" xfId="0" applyNumberFormat="1" applyFont="1" applyBorder="1" applyAlignment="1">
      <alignment horizontal="right" vertical="center" wrapText="1"/>
    </xf>
    <xf numFmtId="3" fontId="8" fillId="0" borderId="1" xfId="0" applyNumberFormat="1" applyFont="1" applyBorder="1" applyAlignment="1">
      <alignment horizontal="right" vertical="center" wrapText="1"/>
    </xf>
    <xf numFmtId="3" fontId="9" fillId="0" borderId="1" xfId="0" applyNumberFormat="1" applyFont="1" applyBorder="1" applyAlignment="1">
      <alignment horizontal="right" vertical="center" wrapText="1"/>
    </xf>
    <xf numFmtId="4" fontId="8" fillId="0" borderId="1" xfId="0" applyNumberFormat="1" applyFont="1" applyBorder="1" applyAlignment="1">
      <alignment horizontal="right" vertical="center" wrapText="1"/>
    </xf>
    <xf numFmtId="3" fontId="0" fillId="0" borderId="0" xfId="0" applyNumberFormat="1"/>
    <xf numFmtId="4" fontId="9" fillId="0" borderId="1" xfId="0" applyNumberFormat="1" applyFont="1" applyBorder="1" applyAlignment="1">
      <alignment horizontal="right" vertical="center" wrapText="1"/>
    </xf>
    <xf numFmtId="4" fontId="5" fillId="0" borderId="1" xfId="0" applyNumberFormat="1" applyFont="1" applyBorder="1" applyAlignment="1">
      <alignment horizontal="right" vertical="center" wrapText="1"/>
    </xf>
    <xf numFmtId="0" fontId="0" fillId="0" borderId="0" xfId="0" applyAlignment="1"/>
    <xf numFmtId="0" fontId="11" fillId="0" borderId="0" xfId="0" applyFont="1" applyAlignment="1"/>
    <xf numFmtId="3" fontId="5" fillId="0" borderId="1" xfId="0" applyNumberFormat="1" applyFont="1" applyBorder="1" applyAlignment="1">
      <alignment horizontal="center" vertical="center" wrapText="1"/>
    </xf>
    <xf numFmtId="3" fontId="12" fillId="0" borderId="1" xfId="0" applyNumberFormat="1" applyFont="1" applyBorder="1" applyAlignment="1">
      <alignment horizontal="right" vertical="center" wrapText="1"/>
    </xf>
    <xf numFmtId="4" fontId="5" fillId="0" borderId="1" xfId="0" applyNumberFormat="1" applyFont="1" applyBorder="1" applyAlignment="1">
      <alignment horizontal="center" vertical="center" wrapText="1"/>
    </xf>
    <xf numFmtId="4" fontId="12" fillId="0" borderId="1" xfId="0" applyNumberFormat="1" applyFont="1" applyBorder="1" applyAlignment="1">
      <alignment horizontal="right" vertical="center" wrapText="1"/>
    </xf>
    <xf numFmtId="0" fontId="5" fillId="0" borderId="4" xfId="0" applyFont="1" applyBorder="1" applyAlignment="1">
      <alignment vertical="center" wrapText="1"/>
    </xf>
    <xf numFmtId="0" fontId="5" fillId="0" borderId="4" xfId="0" applyFont="1" applyBorder="1" applyAlignment="1">
      <alignment horizontal="center" vertical="center" wrapText="1"/>
    </xf>
    <xf numFmtId="3" fontId="5" fillId="0" borderId="1" xfId="0" applyNumberFormat="1" applyFont="1" applyBorder="1" applyAlignment="1">
      <alignment vertical="center" wrapText="1"/>
    </xf>
    <xf numFmtId="3" fontId="8" fillId="0" borderId="1" xfId="0" applyNumberFormat="1" applyFont="1" applyBorder="1" applyAlignment="1">
      <alignment vertical="center" wrapText="1"/>
    </xf>
    <xf numFmtId="3" fontId="9" fillId="0" borderId="4" xfId="0" applyNumberFormat="1" applyFont="1" applyBorder="1" applyAlignment="1">
      <alignment vertical="center" wrapText="1"/>
    </xf>
    <xf numFmtId="0" fontId="12" fillId="0" borderId="1" xfId="0" quotePrefix="1" applyFont="1" applyBorder="1" applyAlignment="1">
      <alignment vertical="center" wrapText="1"/>
    </xf>
    <xf numFmtId="3" fontId="12" fillId="0" borderId="1" xfId="0" applyNumberFormat="1" applyFont="1" applyBorder="1" applyAlignment="1">
      <alignment vertical="center" wrapText="1"/>
    </xf>
    <xf numFmtId="3" fontId="9" fillId="0" borderId="1" xfId="0" applyNumberFormat="1" applyFont="1" applyBorder="1" applyAlignment="1">
      <alignment vertical="center" wrapText="1"/>
    </xf>
    <xf numFmtId="3" fontId="3" fillId="0" borderId="1" xfId="0" applyNumberFormat="1" applyFont="1" applyBorder="1" applyAlignment="1">
      <alignment horizontal="right" vertical="center" wrapText="1"/>
    </xf>
    <xf numFmtId="4" fontId="3" fillId="0" borderId="1" xfId="0" applyNumberFormat="1" applyFont="1" applyBorder="1" applyAlignment="1">
      <alignment horizontal="right" vertical="center" wrapText="1"/>
    </xf>
    <xf numFmtId="4" fontId="5" fillId="0" borderId="1" xfId="0" applyNumberFormat="1"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3" fontId="5" fillId="0" borderId="0" xfId="0" applyNumberFormat="1" applyFont="1" applyBorder="1" applyAlignment="1">
      <alignment horizontal="center" vertical="center" wrapText="1"/>
    </xf>
    <xf numFmtId="3" fontId="8" fillId="0" borderId="0" xfId="0" applyNumberFormat="1" applyFont="1" applyBorder="1" applyAlignment="1">
      <alignment horizontal="right" vertical="center" wrapText="1"/>
    </xf>
    <xf numFmtId="0" fontId="12" fillId="0" borderId="1" xfId="0" applyFont="1" applyBorder="1" applyAlignment="1">
      <alignment vertical="center" wrapText="1"/>
    </xf>
    <xf numFmtId="0" fontId="13"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0" xfId="0" applyFont="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vertical="center" shrinkToFit="1"/>
    </xf>
    <xf numFmtId="0" fontId="9" fillId="0" borderId="1" xfId="0" applyFont="1" applyBorder="1" applyAlignment="1">
      <alignment horizontal="left" vertical="center" wrapText="1"/>
    </xf>
    <xf numFmtId="0" fontId="13" fillId="0" borderId="0" xfId="0" applyNumberFormat="1" applyFont="1" applyBorder="1" applyAlignment="1"/>
    <xf numFmtId="0" fontId="5" fillId="0" borderId="1" xfId="0" applyFont="1" applyBorder="1" applyAlignment="1">
      <alignment vertical="center" shrinkToFit="1"/>
    </xf>
    <xf numFmtId="0" fontId="3" fillId="0" borderId="1" xfId="0" applyFont="1" applyBorder="1" applyAlignment="1">
      <alignment vertical="center" shrinkToFit="1"/>
    </xf>
    <xf numFmtId="3" fontId="8" fillId="0" borderId="1" xfId="0" applyNumberFormat="1" applyFont="1" applyBorder="1" applyAlignment="1">
      <alignment vertical="center" shrinkToFit="1"/>
    </xf>
    <xf numFmtId="0" fontId="3" fillId="0" borderId="1" xfId="0" applyFont="1" applyBorder="1" applyAlignment="1">
      <alignment horizontal="center" vertical="center" wrapText="1"/>
    </xf>
    <xf numFmtId="0" fontId="19" fillId="0" borderId="0" xfId="0" applyFont="1"/>
    <xf numFmtId="0" fontId="3" fillId="0" borderId="0" xfId="0" applyFont="1" applyAlignment="1">
      <alignment vertical="center" wrapText="1"/>
    </xf>
    <xf numFmtId="3" fontId="2" fillId="0" borderId="0" xfId="0" applyNumberFormat="1" applyFont="1" applyFill="1"/>
    <xf numFmtId="3" fontId="14" fillId="0" borderId="1" xfId="0" applyNumberFormat="1" applyFont="1" applyFill="1" applyBorder="1" applyAlignment="1">
      <alignment vertical="center" wrapText="1"/>
    </xf>
    <xf numFmtId="3" fontId="15" fillId="0" borderId="1" xfId="0" applyNumberFormat="1" applyFont="1" applyFill="1" applyBorder="1" applyAlignment="1">
      <alignment horizontal="center" vertical="center" wrapText="1"/>
    </xf>
    <xf numFmtId="3" fontId="15" fillId="0" borderId="1" xfId="0" applyNumberFormat="1" applyFont="1" applyFill="1" applyBorder="1" applyAlignment="1">
      <alignment horizontal="left" vertical="center" wrapText="1"/>
    </xf>
    <xf numFmtId="3" fontId="15" fillId="0" borderId="1" xfId="0" applyNumberFormat="1" applyFont="1" applyFill="1" applyBorder="1" applyAlignment="1">
      <alignment vertical="center" wrapText="1"/>
    </xf>
    <xf numFmtId="3" fontId="15" fillId="0" borderId="1" xfId="0" applyNumberFormat="1" applyFont="1" applyFill="1" applyBorder="1" applyAlignment="1">
      <alignment horizontal="center" vertical="center" shrinkToFit="1"/>
    </xf>
    <xf numFmtId="3" fontId="17" fillId="0" borderId="0" xfId="0" applyNumberFormat="1" applyFont="1" applyFill="1" applyAlignment="1">
      <alignment vertical="center"/>
    </xf>
    <xf numFmtId="0" fontId="12" fillId="0" borderId="0" xfId="0" applyFont="1" applyAlignment="1">
      <alignment horizontal="center" vertical="center"/>
    </xf>
    <xf numFmtId="3" fontId="20" fillId="0" borderId="1" xfId="0" applyNumberFormat="1" applyFont="1" applyBorder="1" applyAlignment="1">
      <alignment horizontal="right" vertical="center" wrapText="1"/>
    </xf>
    <xf numFmtId="4" fontId="20" fillId="0" borderId="1" xfId="0" applyNumberFormat="1" applyFont="1" applyBorder="1" applyAlignment="1">
      <alignment horizontal="right" vertical="center" wrapText="1"/>
    </xf>
    <xf numFmtId="3" fontId="21" fillId="0" borderId="1" xfId="0" applyNumberFormat="1" applyFont="1" applyBorder="1" applyAlignment="1">
      <alignment horizontal="center" vertical="center" wrapText="1"/>
    </xf>
    <xf numFmtId="3" fontId="21" fillId="0" borderId="1" xfId="0" applyNumberFormat="1" applyFont="1" applyBorder="1" applyAlignment="1">
      <alignment horizontal="right" vertical="center" wrapText="1"/>
    </xf>
    <xf numFmtId="4" fontId="21" fillId="0" borderId="1" xfId="0" applyNumberFormat="1" applyFont="1" applyBorder="1" applyAlignment="1">
      <alignment horizontal="right" vertical="center" wrapText="1"/>
    </xf>
    <xf numFmtId="0" fontId="22" fillId="0" borderId="0" xfId="0" applyFont="1" applyAlignment="1">
      <alignment horizontal="left" vertical="center"/>
    </xf>
    <xf numFmtId="0" fontId="21" fillId="0" borderId="0" xfId="0" applyFont="1" applyAlignment="1">
      <alignment horizontal="left" vertical="center"/>
    </xf>
    <xf numFmtId="0" fontId="22" fillId="0" borderId="0" xfId="0" applyFont="1" applyAlignment="1">
      <alignment horizontal="right" vertical="center"/>
    </xf>
    <xf numFmtId="0" fontId="3" fillId="0" borderId="1" xfId="0" applyFont="1" applyBorder="1" applyAlignment="1">
      <alignment horizontal="center" vertical="center" wrapText="1"/>
    </xf>
    <xf numFmtId="0" fontId="23" fillId="0" borderId="1" xfId="0" applyFont="1" applyBorder="1" applyAlignment="1">
      <alignment horizontal="center" vertical="center" wrapText="1"/>
    </xf>
    <xf numFmtId="3" fontId="5" fillId="0" borderId="0" xfId="0" applyNumberFormat="1" applyFont="1" applyFill="1" applyBorder="1" applyAlignment="1">
      <alignment horizontal="right" vertical="center" wrapText="1"/>
    </xf>
    <xf numFmtId="0" fontId="7" fillId="0" borderId="1" xfId="0" applyFont="1" applyBorder="1"/>
    <xf numFmtId="0" fontId="25" fillId="0" borderId="0" xfId="0" applyFont="1" applyFill="1" applyAlignment="1">
      <alignment horizontal="center" vertical="center" wrapText="1"/>
    </xf>
    <xf numFmtId="0" fontId="26" fillId="0" borderId="0" xfId="0" applyFont="1" applyFill="1" applyAlignment="1">
      <alignment horizontal="center" vertical="center" wrapText="1"/>
    </xf>
    <xf numFmtId="0" fontId="25" fillId="0" borderId="0" xfId="0" applyFont="1" applyFill="1" applyAlignment="1">
      <alignment vertical="center" wrapText="1"/>
    </xf>
    <xf numFmtId="37" fontId="25" fillId="0" borderId="0" xfId="0" applyNumberFormat="1" applyFont="1" applyFill="1" applyAlignment="1">
      <alignment horizontal="right" vertical="center" wrapText="1"/>
    </xf>
    <xf numFmtId="3" fontId="28" fillId="0" borderId="0" xfId="0" applyNumberFormat="1" applyFont="1" applyFill="1" applyAlignment="1">
      <alignment vertical="center" wrapText="1"/>
    </xf>
    <xf numFmtId="3" fontId="29" fillId="0" borderId="0" xfId="0" applyNumberFormat="1" applyFont="1" applyFill="1" applyAlignment="1">
      <alignment vertical="center" wrapText="1"/>
    </xf>
    <xf numFmtId="3" fontId="30" fillId="0" borderId="0" xfId="0" applyNumberFormat="1" applyFont="1" applyFill="1" applyBorder="1" applyAlignment="1">
      <alignment horizontal="center" vertical="center" wrapText="1"/>
    </xf>
    <xf numFmtId="3" fontId="30" fillId="0" borderId="0" xfId="0" applyNumberFormat="1" applyFont="1" applyFill="1" applyBorder="1" applyAlignment="1">
      <alignment vertical="center" wrapText="1"/>
    </xf>
    <xf numFmtId="3" fontId="31" fillId="0" borderId="0" xfId="0" applyNumberFormat="1" applyFont="1" applyFill="1" applyBorder="1" applyAlignment="1">
      <alignment vertical="center" wrapText="1"/>
    </xf>
    <xf numFmtId="10" fontId="30" fillId="0" borderId="0" xfId="0" applyNumberFormat="1" applyFont="1" applyFill="1" applyBorder="1" applyAlignment="1">
      <alignment vertical="center" wrapText="1"/>
    </xf>
    <xf numFmtId="3" fontId="28" fillId="0" borderId="0" xfId="0" applyNumberFormat="1" applyFont="1" applyFill="1" applyAlignment="1">
      <alignment horizontal="center" vertical="center" wrapText="1"/>
    </xf>
    <xf numFmtId="0" fontId="9" fillId="0" borderId="1" xfId="0" applyFont="1" applyBorder="1" applyAlignment="1">
      <alignment vertical="center" wrapText="1" shrinkToFit="1"/>
    </xf>
    <xf numFmtId="0" fontId="32" fillId="0" borderId="1" xfId="0" applyFont="1" applyBorder="1" applyAlignment="1">
      <alignment vertical="center" wrapText="1"/>
    </xf>
    <xf numFmtId="0" fontId="3" fillId="0" borderId="1" xfId="0" applyFont="1" applyBorder="1" applyAlignment="1">
      <alignment horizontal="left" vertical="center" wrapText="1"/>
    </xf>
    <xf numFmtId="3" fontId="4" fillId="0" borderId="1" xfId="0" applyNumberFormat="1" applyFont="1" applyBorder="1" applyAlignment="1">
      <alignment vertical="center" wrapText="1"/>
    </xf>
    <xf numFmtId="3" fontId="14" fillId="0" borderId="1" xfId="0" applyNumberFormat="1" applyFont="1" applyFill="1" applyBorder="1" applyAlignment="1">
      <alignment horizontal="center" vertical="center" wrapText="1"/>
    </xf>
    <xf numFmtId="3" fontId="15" fillId="0" borderId="1" xfId="0" applyNumberFormat="1" applyFont="1" applyFill="1" applyBorder="1" applyAlignment="1">
      <alignment horizontal="right" vertical="center" wrapText="1"/>
    </xf>
    <xf numFmtId="3" fontId="16" fillId="0" borderId="1" xfId="0" applyNumberFormat="1" applyFont="1" applyFill="1" applyBorder="1" applyAlignment="1">
      <alignment horizontal="right" vertical="center"/>
    </xf>
    <xf numFmtId="0" fontId="13" fillId="0" borderId="0" xfId="0" applyNumberFormat="1" applyFont="1" applyBorder="1" applyAlignment="1">
      <alignment horizontal="center"/>
    </xf>
    <xf numFmtId="0" fontId="13" fillId="0" borderId="0" xfId="0" applyNumberFormat="1" applyFont="1" applyBorder="1" applyAlignment="1">
      <alignment horizontal="center"/>
    </xf>
    <xf numFmtId="3" fontId="7" fillId="0" borderId="1" xfId="0" applyNumberFormat="1" applyFont="1" applyBorder="1" applyAlignment="1">
      <alignment horizontal="right" vertical="center" wrapText="1"/>
    </xf>
    <xf numFmtId="3" fontId="23" fillId="0" borderId="1" xfId="0" applyNumberFormat="1" applyFont="1" applyBorder="1" applyAlignment="1">
      <alignment horizontal="right" vertical="center" wrapText="1"/>
    </xf>
    <xf numFmtId="0" fontId="20" fillId="0" borderId="1" xfId="0" applyFont="1" applyBorder="1" applyAlignment="1">
      <alignment horizontal="left" vertical="center"/>
    </xf>
    <xf numFmtId="0" fontId="3" fillId="0" borderId="1" xfId="0" applyFont="1" applyBorder="1" applyAlignment="1">
      <alignment horizontal="center" vertical="center" wrapText="1"/>
    </xf>
    <xf numFmtId="0" fontId="7" fillId="0" borderId="0" xfId="0" applyFont="1"/>
    <xf numFmtId="0" fontId="23" fillId="0" borderId="1" xfId="0" applyFont="1" applyBorder="1" applyAlignment="1">
      <alignment horizontal="center"/>
    </xf>
    <xf numFmtId="0" fontId="3" fillId="0" borderId="1" xfId="0" applyFont="1" applyFill="1" applyBorder="1" applyAlignment="1">
      <alignment vertical="center" wrapText="1"/>
    </xf>
    <xf numFmtId="0" fontId="23" fillId="0" borderId="1" xfId="0" applyFont="1" applyBorder="1"/>
    <xf numFmtId="3" fontId="23" fillId="0" borderId="1" xfId="0" applyNumberFormat="1" applyFont="1" applyBorder="1"/>
    <xf numFmtId="3" fontId="7" fillId="0" borderId="1" xfId="0" applyNumberFormat="1" applyFont="1" applyBorder="1" applyAlignment="1">
      <alignment horizontal="right" vertical="center"/>
    </xf>
    <xf numFmtId="3" fontId="32" fillId="0" borderId="0" xfId="0" applyNumberFormat="1" applyFont="1" applyFill="1" applyBorder="1" applyAlignment="1">
      <alignment vertical="center" wrapText="1"/>
    </xf>
    <xf numFmtId="0" fontId="32" fillId="0" borderId="0" xfId="0" applyFont="1" applyFill="1" applyBorder="1" applyAlignment="1">
      <alignment vertical="center" wrapText="1"/>
    </xf>
    <xf numFmtId="0" fontId="27" fillId="0" borderId="1" xfId="0" applyFont="1" applyFill="1" applyBorder="1" applyAlignment="1">
      <alignment horizontal="center" vertical="center" wrapText="1"/>
    </xf>
    <xf numFmtId="3" fontId="27" fillId="0" borderId="1" xfId="0" applyNumberFormat="1" applyFont="1" applyFill="1" applyBorder="1" applyAlignment="1">
      <alignment horizontal="center" vertical="center" wrapText="1"/>
    </xf>
    <xf numFmtId="10" fontId="27" fillId="0" borderId="1" xfId="0" applyNumberFormat="1" applyFont="1" applyFill="1" applyBorder="1" applyAlignment="1">
      <alignment horizontal="center" vertical="center" wrapText="1"/>
    </xf>
    <xf numFmtId="3" fontId="27" fillId="0" borderId="0" xfId="0" applyNumberFormat="1" applyFont="1" applyFill="1" applyBorder="1" applyAlignment="1">
      <alignment vertical="center" wrapText="1"/>
    </xf>
    <xf numFmtId="0" fontId="32" fillId="0" borderId="1" xfId="0" applyFont="1" applyFill="1" applyBorder="1" applyAlignment="1">
      <alignment horizontal="center" vertical="center" wrapText="1"/>
    </xf>
    <xf numFmtId="3" fontId="32" fillId="0" borderId="1" xfId="0" applyNumberFormat="1" applyFont="1" applyFill="1" applyBorder="1" applyAlignment="1">
      <alignment horizontal="center" vertical="center" wrapText="1"/>
    </xf>
    <xf numFmtId="10" fontId="32" fillId="0" borderId="1" xfId="0" applyNumberFormat="1" applyFont="1" applyFill="1" applyBorder="1" applyAlignment="1">
      <alignment horizontal="center" vertical="center" wrapText="1"/>
    </xf>
    <xf numFmtId="3" fontId="24" fillId="0" borderId="0" xfId="0" applyNumberFormat="1" applyFont="1" applyFill="1" applyBorder="1" applyAlignment="1">
      <alignment vertical="center" wrapText="1"/>
    </xf>
    <xf numFmtId="0" fontId="24" fillId="0" borderId="0" xfId="0" applyFont="1" applyFill="1" applyBorder="1" applyAlignment="1">
      <alignment vertical="center" wrapText="1"/>
    </xf>
    <xf numFmtId="0" fontId="27" fillId="0" borderId="1" xfId="0" applyFont="1" applyFill="1" applyBorder="1" applyAlignment="1">
      <alignment horizontal="left" vertical="center" wrapText="1"/>
    </xf>
    <xf numFmtId="3" fontId="27" fillId="0" borderId="1" xfId="0" applyNumberFormat="1" applyFont="1" applyFill="1" applyBorder="1" applyAlignment="1">
      <alignment horizontal="right" vertical="center" wrapText="1"/>
    </xf>
    <xf numFmtId="10" fontId="27" fillId="0" borderId="1" xfId="0" applyNumberFormat="1" applyFont="1" applyFill="1" applyBorder="1" applyAlignment="1">
      <alignment horizontal="right" vertical="center" wrapText="1"/>
    </xf>
    <xf numFmtId="0" fontId="27" fillId="0" borderId="0" xfId="0" applyFont="1" applyFill="1" applyBorder="1" applyAlignment="1">
      <alignment vertical="center" wrapText="1"/>
    </xf>
    <xf numFmtId="0" fontId="24" fillId="0" borderId="1" xfId="0" applyFont="1" applyFill="1" applyBorder="1" applyAlignment="1">
      <alignment vertical="center" wrapText="1"/>
    </xf>
    <xf numFmtId="3" fontId="32" fillId="0" borderId="1" xfId="0" applyNumberFormat="1" applyFont="1" applyFill="1" applyBorder="1" applyAlignment="1">
      <alignment horizontal="right" vertical="center" wrapText="1"/>
    </xf>
    <xf numFmtId="0" fontId="27" fillId="0" borderId="1" xfId="0" applyFont="1" applyFill="1" applyBorder="1" applyAlignment="1">
      <alignment vertical="center" wrapText="1"/>
    </xf>
    <xf numFmtId="0" fontId="34" fillId="0" borderId="1" xfId="0" applyFont="1" applyFill="1" applyBorder="1" applyAlignment="1">
      <alignment horizontal="center" vertical="center" wrapText="1"/>
    </xf>
    <xf numFmtId="0" fontId="34" fillId="0" borderId="1" xfId="0" applyFont="1" applyFill="1" applyBorder="1" applyAlignment="1">
      <alignment vertical="center" wrapText="1"/>
    </xf>
    <xf numFmtId="3" fontId="34" fillId="0" borderId="1" xfId="0" applyNumberFormat="1" applyFont="1" applyFill="1" applyBorder="1" applyAlignment="1">
      <alignment horizontal="right" vertical="center" wrapText="1"/>
    </xf>
    <xf numFmtId="10" fontId="34" fillId="0" borderId="1" xfId="0" applyNumberFormat="1" applyFont="1" applyFill="1" applyBorder="1" applyAlignment="1">
      <alignment horizontal="center" vertical="center" wrapText="1"/>
    </xf>
    <xf numFmtId="3" fontId="34" fillId="0" borderId="0" xfId="0" applyNumberFormat="1" applyFont="1" applyFill="1" applyBorder="1" applyAlignment="1">
      <alignment vertical="center" wrapText="1"/>
    </xf>
    <xf numFmtId="0" fontId="34" fillId="0" borderId="0" xfId="0" applyFont="1" applyFill="1" applyBorder="1" applyAlignment="1">
      <alignment vertical="center" wrapText="1"/>
    </xf>
    <xf numFmtId="0" fontId="32" fillId="0" borderId="1" xfId="0" quotePrefix="1" applyFont="1" applyFill="1" applyBorder="1" applyAlignment="1">
      <alignment horizontal="center" vertical="center" wrapText="1"/>
    </xf>
    <xf numFmtId="0" fontId="32" fillId="0" borderId="1" xfId="0" applyFont="1" applyFill="1" applyBorder="1" applyAlignment="1">
      <alignment vertical="center" wrapText="1"/>
    </xf>
    <xf numFmtId="10" fontId="32" fillId="0" borderId="1" xfId="0" applyNumberFormat="1" applyFont="1" applyFill="1" applyBorder="1" applyAlignment="1">
      <alignment horizontal="right" vertical="center" wrapText="1"/>
    </xf>
    <xf numFmtId="0" fontId="24" fillId="0" borderId="1" xfId="0" quotePrefix="1" applyFont="1" applyFill="1" applyBorder="1" applyAlignment="1">
      <alignment vertical="center" wrapText="1"/>
    </xf>
    <xf numFmtId="3" fontId="24" fillId="0" borderId="1" xfId="0" applyNumberFormat="1" applyFont="1" applyFill="1" applyBorder="1" applyAlignment="1">
      <alignment horizontal="right" vertical="center" wrapText="1"/>
    </xf>
    <xf numFmtId="10" fontId="24" fillId="0" borderId="1" xfId="0" applyNumberFormat="1" applyFont="1" applyFill="1" applyBorder="1" applyAlignment="1">
      <alignment horizontal="right" vertical="center" wrapText="1"/>
    </xf>
    <xf numFmtId="0" fontId="32" fillId="0" borderId="1" xfId="0" quotePrefix="1" applyFont="1" applyFill="1" applyBorder="1" applyAlignment="1">
      <alignment vertical="center" wrapText="1"/>
    </xf>
    <xf numFmtId="0" fontId="32" fillId="0" borderId="0" xfId="0" applyFont="1" applyFill="1" applyBorder="1" applyAlignment="1">
      <alignment horizontal="center" vertical="center" wrapText="1"/>
    </xf>
    <xf numFmtId="3" fontId="32" fillId="0" borderId="0" xfId="0" applyNumberFormat="1" applyFont="1" applyFill="1" applyBorder="1" applyAlignment="1">
      <alignment horizontal="center" vertical="center" wrapText="1"/>
    </xf>
    <xf numFmtId="10" fontId="32" fillId="0" borderId="0" xfId="0" applyNumberFormat="1" applyFont="1" applyFill="1" applyBorder="1" applyAlignment="1">
      <alignment horizontal="center" vertical="center" wrapText="1"/>
    </xf>
    <xf numFmtId="0" fontId="32" fillId="0" borderId="0" xfId="0" applyFont="1" applyFill="1" applyBorder="1" applyAlignment="1">
      <alignment horizontal="left" vertical="center" wrapText="1"/>
    </xf>
    <xf numFmtId="3" fontId="32" fillId="0" borderId="0" xfId="0" applyNumberFormat="1" applyFont="1" applyFill="1" applyBorder="1" applyAlignment="1">
      <alignment horizontal="right" vertical="center" wrapText="1"/>
    </xf>
    <xf numFmtId="10" fontId="32" fillId="0" borderId="0" xfId="0" applyNumberFormat="1" applyFont="1" applyFill="1" applyBorder="1" applyAlignment="1">
      <alignment horizontal="right" vertical="center" wrapText="1"/>
    </xf>
    <xf numFmtId="0" fontId="5" fillId="0" borderId="1" xfId="0" quotePrefix="1" applyFont="1" applyBorder="1" applyAlignment="1">
      <alignment horizontal="center" vertical="center" wrapText="1"/>
    </xf>
    <xf numFmtId="0" fontId="13" fillId="0" borderId="0" xfId="0" applyNumberFormat="1" applyFont="1" applyBorder="1" applyAlignment="1">
      <alignment horizontal="center"/>
    </xf>
    <xf numFmtId="0" fontId="3" fillId="0" borderId="1" xfId="0" applyFont="1" applyBorder="1" applyAlignment="1">
      <alignment horizontal="center" vertical="center" wrapText="1"/>
    </xf>
    <xf numFmtId="0" fontId="13" fillId="0" borderId="0" xfId="0" applyNumberFormat="1" applyFont="1" applyBorder="1" applyAlignment="1">
      <alignment horizontal="center" shrinkToFit="1"/>
    </xf>
    <xf numFmtId="0" fontId="20" fillId="0" borderId="1" xfId="0" applyFont="1" applyBorder="1" applyAlignment="1">
      <alignment horizontal="center" vertical="center" wrapText="1"/>
    </xf>
    <xf numFmtId="0" fontId="22" fillId="0" borderId="0" xfId="0" applyNumberFormat="1" applyFont="1" applyBorder="1" applyAlignment="1">
      <alignment horizontal="center"/>
    </xf>
    <xf numFmtId="0" fontId="24" fillId="0" borderId="0" xfId="0" applyNumberFormat="1" applyFont="1" applyBorder="1" applyAlignment="1">
      <alignment horizontal="center"/>
    </xf>
    <xf numFmtId="0" fontId="32" fillId="0" borderId="0" xfId="0" applyFont="1" applyFill="1" applyBorder="1" applyAlignment="1">
      <alignment horizontal="center" vertical="center" wrapText="1"/>
    </xf>
    <xf numFmtId="0" fontId="5" fillId="0" borderId="1" xfId="0" applyFont="1" applyBorder="1" applyAlignment="1">
      <alignment vertical="center" wrapText="1" shrinkToFit="1"/>
    </xf>
    <xf numFmtId="0" fontId="3" fillId="0" borderId="1" xfId="0" applyFont="1" applyBorder="1" applyAlignment="1">
      <alignment vertical="center" wrapText="1" shrinkToFit="1"/>
    </xf>
    <xf numFmtId="0" fontId="37" fillId="0" borderId="0" xfId="0" applyFont="1"/>
    <xf numFmtId="3" fontId="37" fillId="0" borderId="0" xfId="0" applyNumberFormat="1" applyFont="1"/>
    <xf numFmtId="3" fontId="4" fillId="0" borderId="1" xfId="0" applyNumberFormat="1" applyFont="1" applyBorder="1" applyAlignment="1">
      <alignment horizontal="right" vertical="center" wrapText="1"/>
    </xf>
    <xf numFmtId="4" fontId="4" fillId="0" borderId="1" xfId="0" applyNumberFormat="1" applyFont="1" applyBorder="1" applyAlignment="1">
      <alignment horizontal="right" vertical="center" wrapText="1"/>
    </xf>
    <xf numFmtId="3" fontId="7" fillId="0" borderId="0" xfId="0" applyNumberFormat="1" applyFont="1"/>
    <xf numFmtId="3" fontId="27" fillId="0" borderId="1" xfId="0" applyNumberFormat="1" applyFont="1" applyBorder="1" applyAlignment="1">
      <alignment horizontal="right" vertical="center" wrapText="1"/>
    </xf>
    <xf numFmtId="0" fontId="38" fillId="0" borderId="1" xfId="0" applyFont="1" applyBorder="1" applyAlignment="1">
      <alignment horizontal="center" vertical="center" wrapText="1"/>
    </xf>
    <xf numFmtId="0" fontId="38" fillId="0" borderId="1" xfId="0" applyFont="1" applyBorder="1" applyAlignment="1">
      <alignment vertical="center" wrapText="1"/>
    </xf>
    <xf numFmtId="3" fontId="32" fillId="0" borderId="1" xfId="0" applyNumberFormat="1" applyFont="1" applyBorder="1" applyAlignment="1">
      <alignment horizontal="right" vertical="center" wrapText="1"/>
    </xf>
    <xf numFmtId="0" fontId="39" fillId="0" borderId="0" xfId="0" applyFont="1"/>
    <xf numFmtId="0" fontId="21" fillId="0" borderId="0" xfId="0" applyFont="1"/>
    <xf numFmtId="3" fontId="21" fillId="0" borderId="0" xfId="0" applyNumberFormat="1" applyFont="1"/>
    <xf numFmtId="0" fontId="20" fillId="0" borderId="1" xfId="0" applyFont="1" applyBorder="1" applyAlignment="1">
      <alignment vertical="center" wrapText="1"/>
    </xf>
    <xf numFmtId="3" fontId="20" fillId="0" borderId="1" xfId="0" applyNumberFormat="1" applyFont="1" applyBorder="1" applyAlignment="1">
      <alignment vertical="center" wrapText="1"/>
    </xf>
    <xf numFmtId="0" fontId="21" fillId="0" borderId="1" xfId="0" applyFont="1" applyBorder="1" applyAlignment="1">
      <alignment horizontal="center" vertical="center" wrapText="1"/>
    </xf>
    <xf numFmtId="0" fontId="21" fillId="0" borderId="1" xfId="0" applyFont="1" applyBorder="1" applyAlignment="1">
      <alignment vertical="center" wrapText="1"/>
    </xf>
    <xf numFmtId="3" fontId="21" fillId="0" borderId="1" xfId="0" applyNumberFormat="1" applyFont="1" applyBorder="1" applyAlignment="1">
      <alignment vertical="center" wrapText="1"/>
    </xf>
    <xf numFmtId="0" fontId="20" fillId="0" borderId="1" xfId="0" applyFont="1" applyBorder="1" applyAlignment="1">
      <alignment horizontal="left" vertical="center" wrapText="1"/>
    </xf>
    <xf numFmtId="0" fontId="20" fillId="0" borderId="1" xfId="0" applyFont="1" applyBorder="1" applyAlignment="1">
      <alignment vertical="center" wrapText="1" shrinkToFit="1"/>
    </xf>
    <xf numFmtId="0" fontId="20" fillId="0" borderId="1" xfId="0" applyFont="1" applyBorder="1" applyAlignment="1">
      <alignment wrapText="1"/>
    </xf>
    <xf numFmtId="3" fontId="20" fillId="0" borderId="1" xfId="0" applyNumberFormat="1" applyFont="1" applyBorder="1"/>
    <xf numFmtId="0" fontId="21" fillId="0" borderId="1" xfId="0" applyFont="1" applyBorder="1"/>
    <xf numFmtId="0" fontId="21" fillId="0" borderId="0" xfId="0" applyFont="1" applyAlignment="1">
      <alignment horizontal="left"/>
    </xf>
    <xf numFmtId="0" fontId="32" fillId="0" borderId="1" xfId="0" applyFont="1" applyBorder="1" applyAlignment="1">
      <alignment horizontal="center" vertical="center" wrapText="1"/>
    </xf>
    <xf numFmtId="4" fontId="32" fillId="0" borderId="1" xfId="0" applyNumberFormat="1" applyFont="1" applyBorder="1" applyAlignment="1">
      <alignment horizontal="right" vertical="center" wrapText="1"/>
    </xf>
    <xf numFmtId="0" fontId="40" fillId="0" borderId="0" xfId="0" applyFont="1"/>
    <xf numFmtId="4" fontId="37" fillId="0" borderId="0" xfId="0" applyNumberFormat="1" applyFont="1" applyAlignment="1">
      <alignment shrinkToFit="1"/>
    </xf>
    <xf numFmtId="3" fontId="16" fillId="0" borderId="0" xfId="0" applyNumberFormat="1" applyFont="1" applyFill="1"/>
    <xf numFmtId="3" fontId="41" fillId="0" borderId="0" xfId="0" applyNumberFormat="1" applyFont="1" applyFill="1" applyAlignment="1">
      <alignment horizontal="center" vertical="center"/>
    </xf>
    <xf numFmtId="3" fontId="33" fillId="0" borderId="0" xfId="0" applyNumberFormat="1" applyFont="1" applyFill="1"/>
    <xf numFmtId="0" fontId="24" fillId="0" borderId="0" xfId="0" applyNumberFormat="1" applyFont="1" applyBorder="1" applyAlignment="1"/>
    <xf numFmtId="0" fontId="7" fillId="0" borderId="0" xfId="0" applyFont="1" applyAlignment="1">
      <alignment horizontal="center"/>
    </xf>
    <xf numFmtId="3" fontId="7" fillId="0" borderId="0" xfId="0" applyNumberFormat="1" applyFont="1" applyAlignment="1">
      <alignment horizontal="right"/>
    </xf>
    <xf numFmtId="3" fontId="32" fillId="0" borderId="1" xfId="0" applyNumberFormat="1" applyFont="1" applyBorder="1" applyAlignment="1">
      <alignment horizontal="right" vertical="center"/>
    </xf>
    <xf numFmtId="3" fontId="32" fillId="0" borderId="5" xfId="0" applyNumberFormat="1" applyFont="1" applyFill="1" applyBorder="1" applyAlignment="1">
      <alignment horizontal="right" vertical="center" wrapText="1"/>
    </xf>
    <xf numFmtId="3" fontId="32" fillId="0" borderId="0" xfId="0" applyNumberFormat="1" applyFont="1"/>
    <xf numFmtId="0" fontId="32" fillId="0" borderId="0" xfId="0" applyFont="1"/>
    <xf numFmtId="3" fontId="24" fillId="0" borderId="7" xfId="0" applyNumberFormat="1" applyFont="1" applyFill="1" applyBorder="1" applyAlignment="1">
      <alignment vertical="center" wrapText="1"/>
    </xf>
    <xf numFmtId="3" fontId="44" fillId="0" borderId="1" xfId="0" applyNumberFormat="1" applyFont="1" applyFill="1" applyBorder="1" applyAlignment="1">
      <alignment horizontal="center" vertical="center" wrapText="1"/>
    </xf>
    <xf numFmtId="3" fontId="28" fillId="0" borderId="1" xfId="0" applyNumberFormat="1" applyFont="1" applyFill="1" applyBorder="1" applyAlignment="1">
      <alignment horizontal="center" vertical="center" wrapText="1"/>
    </xf>
    <xf numFmtId="3" fontId="44" fillId="0" borderId="1" xfId="0" applyNumberFormat="1" applyFont="1" applyFill="1" applyBorder="1" applyAlignment="1">
      <alignment horizontal="right" vertical="center" wrapText="1"/>
    </xf>
    <xf numFmtId="4" fontId="44" fillId="0" borderId="1" xfId="0" applyNumberFormat="1" applyFont="1" applyFill="1" applyBorder="1" applyAlignment="1">
      <alignment horizontal="right" vertical="center" wrapText="1"/>
    </xf>
    <xf numFmtId="3" fontId="44" fillId="0" borderId="1" xfId="0" applyNumberFormat="1" applyFont="1" applyFill="1" applyBorder="1" applyAlignment="1">
      <alignment vertical="center" wrapText="1"/>
    </xf>
    <xf numFmtId="4" fontId="44" fillId="0" borderId="1" xfId="0" applyNumberFormat="1" applyFont="1" applyFill="1" applyBorder="1" applyAlignment="1">
      <alignment vertical="center" wrapText="1"/>
    </xf>
    <xf numFmtId="3" fontId="44" fillId="0" borderId="0" xfId="0" applyNumberFormat="1" applyFont="1" applyFill="1" applyAlignment="1">
      <alignment vertical="center" wrapText="1"/>
    </xf>
    <xf numFmtId="3" fontId="28" fillId="0" borderId="1" xfId="0" applyNumberFormat="1" applyFont="1" applyFill="1" applyBorder="1" applyAlignment="1">
      <alignment vertical="center" wrapText="1"/>
    </xf>
    <xf numFmtId="3" fontId="45" fillId="0" borderId="1" xfId="0" applyNumberFormat="1" applyFont="1" applyFill="1" applyBorder="1" applyAlignment="1">
      <alignment horizontal="center" vertical="center" wrapText="1"/>
    </xf>
    <xf numFmtId="3" fontId="45" fillId="0" borderId="1" xfId="0" applyNumberFormat="1" applyFont="1" applyFill="1" applyBorder="1" applyAlignment="1">
      <alignment vertical="center" wrapText="1"/>
    </xf>
    <xf numFmtId="4" fontId="28" fillId="0" borderId="1" xfId="0" applyNumberFormat="1" applyFont="1" applyFill="1" applyBorder="1" applyAlignment="1">
      <alignment vertical="center" wrapText="1"/>
    </xf>
    <xf numFmtId="3" fontId="28" fillId="0" borderId="1" xfId="0" applyNumberFormat="1" applyFont="1" applyFill="1" applyBorder="1" applyAlignment="1">
      <alignment horizontal="left" vertical="center" wrapText="1"/>
    </xf>
    <xf numFmtId="3" fontId="44" fillId="0" borderId="1" xfId="0" applyNumberFormat="1" applyFont="1" applyFill="1" applyBorder="1" applyAlignment="1">
      <alignment horizontal="justify" vertical="center" wrapText="1"/>
    </xf>
    <xf numFmtId="3" fontId="28" fillId="0" borderId="1" xfId="0" applyNumberFormat="1" applyFont="1" applyFill="1" applyBorder="1" applyAlignment="1">
      <alignment horizontal="justify" vertical="center" wrapText="1"/>
    </xf>
    <xf numFmtId="3" fontId="45" fillId="0" borderId="1" xfId="0" applyNumberFormat="1" applyFont="1" applyFill="1" applyBorder="1" applyAlignment="1">
      <alignment horizontal="justify" vertical="center" wrapText="1"/>
    </xf>
    <xf numFmtId="37" fontId="32" fillId="0" borderId="0" xfId="0" applyNumberFormat="1" applyFont="1" applyFill="1" applyBorder="1" applyAlignment="1">
      <alignment horizontal="center" vertical="top" wrapText="1"/>
    </xf>
    <xf numFmtId="0" fontId="3" fillId="0" borderId="0" xfId="0" applyFont="1" applyAlignment="1">
      <alignment vertical="center"/>
    </xf>
    <xf numFmtId="0" fontId="27" fillId="0" borderId="0" xfId="0" applyFont="1" applyAlignment="1">
      <alignment horizontal="right" vertical="center"/>
    </xf>
    <xf numFmtId="0" fontId="24" fillId="0" borderId="0" xfId="0" applyFont="1" applyAlignment="1">
      <alignment horizontal="right" vertical="center"/>
    </xf>
    <xf numFmtId="0" fontId="27" fillId="0" borderId="1" xfId="0" applyFont="1" applyBorder="1" applyAlignment="1">
      <alignment horizontal="center" vertical="center" wrapText="1"/>
    </xf>
    <xf numFmtId="0" fontId="27" fillId="0" borderId="1" xfId="0" applyFont="1" applyBorder="1" applyAlignment="1">
      <alignment vertical="center" wrapText="1"/>
    </xf>
    <xf numFmtId="3" fontId="46" fillId="0" borderId="1" xfId="0" applyNumberFormat="1" applyFont="1" applyBorder="1" applyAlignment="1">
      <alignment vertical="center" wrapText="1"/>
    </xf>
    <xf numFmtId="4" fontId="46" fillId="0" borderId="1" xfId="0" applyNumberFormat="1" applyFont="1" applyBorder="1" applyAlignment="1">
      <alignment vertical="center" wrapText="1"/>
    </xf>
    <xf numFmtId="3" fontId="46" fillId="0" borderId="1" xfId="0" applyNumberFormat="1" applyFont="1" applyBorder="1" applyAlignment="1">
      <alignment horizontal="right" vertical="center" wrapText="1"/>
    </xf>
    <xf numFmtId="3" fontId="32" fillId="0" borderId="1" xfId="0" applyNumberFormat="1" applyFont="1" applyBorder="1" applyAlignment="1">
      <alignment vertical="center" wrapText="1"/>
    </xf>
    <xf numFmtId="0" fontId="24" fillId="0" borderId="1" xfId="0" applyFont="1" applyBorder="1" applyAlignment="1">
      <alignment vertical="center" wrapText="1"/>
    </xf>
    <xf numFmtId="3" fontId="13" fillId="0" borderId="1" xfId="0" applyNumberFormat="1" applyFont="1" applyBorder="1" applyAlignment="1">
      <alignment vertical="center" wrapText="1"/>
    </xf>
    <xf numFmtId="4" fontId="13" fillId="0" borderId="1" xfId="0" applyNumberFormat="1" applyFont="1" applyBorder="1" applyAlignment="1">
      <alignment vertical="center" wrapText="1"/>
    </xf>
    <xf numFmtId="3" fontId="27" fillId="0" borderId="1" xfId="0" applyNumberFormat="1" applyFont="1" applyBorder="1" applyAlignment="1">
      <alignment vertical="center" wrapText="1"/>
    </xf>
    <xf numFmtId="4" fontId="27" fillId="0" borderId="1" xfId="0" applyNumberFormat="1" applyFont="1" applyBorder="1" applyAlignment="1">
      <alignment vertical="center" wrapText="1"/>
    </xf>
    <xf numFmtId="3" fontId="40" fillId="0" borderId="0" xfId="0" applyNumberFormat="1" applyFont="1"/>
    <xf numFmtId="3" fontId="32" fillId="0" borderId="0" xfId="0" applyNumberFormat="1" applyFont="1" applyBorder="1" applyAlignment="1">
      <alignment horizontal="right" vertical="center" wrapText="1"/>
    </xf>
    <xf numFmtId="0" fontId="38" fillId="0" borderId="1" xfId="0" applyFont="1" applyBorder="1" applyAlignment="1">
      <alignment vertical="center" wrapText="1" shrinkToFit="1"/>
    </xf>
    <xf numFmtId="0" fontId="38" fillId="0" borderId="1" xfId="0" applyFont="1" applyBorder="1" applyAlignment="1">
      <alignment horizontal="left" vertical="center" wrapText="1"/>
    </xf>
    <xf numFmtId="0" fontId="10" fillId="0" borderId="0" xfId="0" applyFont="1" applyAlignment="1">
      <alignment horizontal="left"/>
    </xf>
    <xf numFmtId="0" fontId="3" fillId="0" borderId="0" xfId="0" applyFont="1" applyAlignment="1">
      <alignment horizontal="center" vertical="center" wrapText="1"/>
    </xf>
    <xf numFmtId="0" fontId="13" fillId="0" borderId="0" xfId="0" applyNumberFormat="1" applyFont="1" applyBorder="1" applyAlignment="1">
      <alignment horizontal="center" wrapText="1"/>
    </xf>
    <xf numFmtId="0" fontId="13" fillId="0" borderId="0" xfId="0" applyNumberFormat="1" applyFont="1" applyBorder="1" applyAlignment="1">
      <alignment horizontal="center"/>
    </xf>
    <xf numFmtId="0" fontId="6" fillId="0" borderId="2" xfId="0" applyFont="1" applyBorder="1" applyAlignment="1">
      <alignment horizontal="left" vertical="center" wrapText="1"/>
    </xf>
    <xf numFmtId="0" fontId="3" fillId="0" borderId="1" xfId="0" applyFont="1" applyBorder="1" applyAlignment="1">
      <alignment horizontal="center" vertical="center" wrapText="1"/>
    </xf>
    <xf numFmtId="0" fontId="4" fillId="0" borderId="0" xfId="0" applyFont="1" applyAlignment="1">
      <alignment horizontal="left" vertical="center" wrapText="1"/>
    </xf>
    <xf numFmtId="0" fontId="24" fillId="0" borderId="0" xfId="0" applyNumberFormat="1" applyFont="1" applyBorder="1" applyAlignment="1">
      <alignment horizontal="center" wrapText="1" shrinkToFit="1"/>
    </xf>
    <xf numFmtId="0" fontId="24" fillId="0" borderId="0" xfId="0" applyNumberFormat="1" applyFont="1" applyBorder="1" applyAlignment="1">
      <alignment horizontal="center" shrinkToFit="1"/>
    </xf>
    <xf numFmtId="0" fontId="4" fillId="0" borderId="0" xfId="0" applyFont="1" applyAlignment="1">
      <alignment horizontal="center" vertical="center"/>
    </xf>
    <xf numFmtId="0" fontId="27" fillId="0" borderId="0" xfId="0" applyFont="1" applyAlignment="1">
      <alignment horizontal="center" vertical="center" wrapText="1"/>
    </xf>
    <xf numFmtId="0" fontId="13" fillId="0" borderId="0" xfId="0" applyNumberFormat="1" applyFont="1" applyBorder="1" applyAlignment="1">
      <alignment horizontal="center" wrapText="1" shrinkToFit="1"/>
    </xf>
    <xf numFmtId="0" fontId="13" fillId="0" borderId="0" xfId="0" applyNumberFormat="1" applyFont="1" applyBorder="1" applyAlignment="1">
      <alignment horizontal="center" shrinkToFit="1"/>
    </xf>
    <xf numFmtId="0" fontId="20" fillId="0" borderId="1"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0" xfId="0" applyFont="1" applyAlignment="1">
      <alignment horizontal="center" vertical="center" wrapText="1"/>
    </xf>
    <xf numFmtId="0" fontId="22" fillId="0" borderId="0" xfId="0" applyNumberFormat="1" applyFont="1" applyBorder="1" applyAlignment="1">
      <alignment horizontal="center"/>
    </xf>
    <xf numFmtId="0" fontId="20" fillId="0" borderId="0" xfId="0" applyFont="1" applyAlignment="1">
      <alignment horizontal="center" vertical="center"/>
    </xf>
    <xf numFmtId="0" fontId="20" fillId="0" borderId="3"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3" fontId="18" fillId="0" borderId="0" xfId="0" applyNumberFormat="1" applyFont="1" applyFill="1" applyAlignment="1">
      <alignment horizontal="center"/>
    </xf>
    <xf numFmtId="3" fontId="42" fillId="0" borderId="0" xfId="0" applyNumberFormat="1" applyFont="1" applyFill="1" applyAlignment="1">
      <alignment horizontal="center" vertical="center"/>
    </xf>
    <xf numFmtId="3" fontId="43" fillId="0" borderId="0" xfId="0" applyNumberFormat="1" applyFont="1" applyFill="1" applyAlignment="1">
      <alignment horizontal="center" vertical="center"/>
    </xf>
    <xf numFmtId="3" fontId="14" fillId="0" borderId="4" xfId="0" applyNumberFormat="1" applyFont="1" applyFill="1" applyBorder="1" applyAlignment="1">
      <alignment horizontal="center" vertical="center" wrapText="1"/>
    </xf>
    <xf numFmtId="3" fontId="14" fillId="0" borderId="5" xfId="0" applyNumberFormat="1" applyFont="1" applyFill="1" applyBorder="1" applyAlignment="1">
      <alignment horizontal="center" vertical="center" wrapText="1"/>
    </xf>
    <xf numFmtId="3" fontId="14" fillId="0" borderId="6" xfId="0" applyNumberFormat="1" applyFont="1" applyFill="1" applyBorder="1" applyAlignment="1">
      <alignment horizontal="center" vertical="center" wrapText="1"/>
    </xf>
    <xf numFmtId="3" fontId="14" fillId="0" borderId="3" xfId="0" applyNumberFormat="1" applyFont="1" applyFill="1" applyBorder="1" applyAlignment="1">
      <alignment horizontal="center" vertical="center" wrapText="1"/>
    </xf>
    <xf numFmtId="3" fontId="14" fillId="0" borderId="8" xfId="0" applyNumberFormat="1" applyFont="1" applyFill="1" applyBorder="1" applyAlignment="1">
      <alignment horizontal="center" vertical="center" wrapText="1"/>
    </xf>
    <xf numFmtId="3" fontId="14" fillId="0" borderId="9" xfId="0" applyNumberFormat="1" applyFont="1" applyFill="1" applyBorder="1" applyAlignment="1">
      <alignment horizontal="center" vertical="center" wrapText="1"/>
    </xf>
    <xf numFmtId="3" fontId="41" fillId="0" borderId="7" xfId="0" applyNumberFormat="1" applyFont="1" applyFill="1" applyBorder="1" applyAlignment="1">
      <alignment horizontal="right" vertical="center"/>
    </xf>
    <xf numFmtId="0" fontId="3" fillId="0" borderId="0" xfId="0" applyFont="1" applyAlignment="1">
      <alignment horizontal="right" vertical="center"/>
    </xf>
    <xf numFmtId="0" fontId="4" fillId="0" borderId="7" xfId="0" applyFont="1" applyBorder="1" applyAlignment="1">
      <alignment horizontal="right" vertical="center"/>
    </xf>
    <xf numFmtId="0" fontId="27" fillId="0" borderId="0" xfId="0" applyFont="1" applyFill="1" applyAlignment="1">
      <alignment horizontal="center" vertical="center" wrapText="1"/>
    </xf>
    <xf numFmtId="3" fontId="27" fillId="0" borderId="0" xfId="0" applyNumberFormat="1" applyFont="1" applyFill="1" applyAlignment="1">
      <alignment horizontal="center" vertical="center" wrapText="1"/>
    </xf>
    <xf numFmtId="0" fontId="24" fillId="0" borderId="0" xfId="0" applyNumberFormat="1" applyFont="1" applyBorder="1" applyAlignment="1">
      <alignment horizontal="center"/>
    </xf>
    <xf numFmtId="3" fontId="44" fillId="0" borderId="1" xfId="0" applyNumberFormat="1" applyFont="1" applyFill="1" applyBorder="1" applyAlignment="1">
      <alignment horizontal="center" vertical="center" wrapText="1"/>
    </xf>
    <xf numFmtId="3" fontId="44" fillId="0" borderId="3" xfId="0" applyNumberFormat="1" applyFont="1" applyFill="1" applyBorder="1" applyAlignment="1">
      <alignment horizontal="center" vertical="center" wrapText="1"/>
    </xf>
    <xf numFmtId="3" fontId="44" fillId="0" borderId="8" xfId="0" applyNumberFormat="1" applyFont="1" applyFill="1" applyBorder="1" applyAlignment="1">
      <alignment horizontal="center" vertical="center" wrapText="1"/>
    </xf>
    <xf numFmtId="3" fontId="44" fillId="0" borderId="9" xfId="0" applyNumberFormat="1" applyFont="1" applyFill="1" applyBorder="1" applyAlignment="1">
      <alignment horizontal="center" vertical="center" wrapText="1"/>
    </xf>
    <xf numFmtId="3" fontId="45" fillId="0" borderId="7" xfId="0" applyNumberFormat="1" applyFont="1" applyFill="1" applyBorder="1" applyAlignment="1">
      <alignment horizontal="right" vertical="center" wrapText="1"/>
    </xf>
    <xf numFmtId="3" fontId="44" fillId="0" borderId="4" xfId="0" applyNumberFormat="1" applyFont="1" applyFill="1" applyBorder="1" applyAlignment="1">
      <alignment horizontal="center" vertical="center" wrapText="1"/>
    </xf>
    <xf numFmtId="3" fontId="44" fillId="0" borderId="5" xfId="0" applyNumberFormat="1" applyFont="1" applyFill="1" applyBorder="1" applyAlignment="1">
      <alignment horizontal="center" vertical="center" wrapText="1"/>
    </xf>
    <xf numFmtId="3" fontId="44" fillId="0" borderId="6" xfId="0" applyNumberFormat="1" applyFont="1" applyFill="1" applyBorder="1" applyAlignment="1">
      <alignment horizontal="center" vertical="center" wrapText="1"/>
    </xf>
    <xf numFmtId="37" fontId="24" fillId="0" borderId="0" xfId="0" applyNumberFormat="1" applyFont="1" applyFill="1" applyBorder="1" applyAlignment="1">
      <alignment horizontal="center" vertical="center" wrapText="1"/>
    </xf>
    <xf numFmtId="37" fontId="27" fillId="0" borderId="0" xfId="0" applyNumberFormat="1" applyFont="1" applyFill="1" applyBorder="1" applyAlignment="1">
      <alignment horizontal="center" vertical="center" wrapText="1"/>
    </xf>
    <xf numFmtId="0" fontId="32" fillId="0" borderId="0" xfId="0" applyFont="1" applyFill="1" applyBorder="1" applyAlignment="1">
      <alignment horizontal="center" vertical="center" wrapText="1"/>
    </xf>
    <xf numFmtId="37" fontId="32" fillId="0" borderId="0" xfId="0" applyNumberFormat="1" applyFont="1" applyFill="1" applyBorder="1" applyAlignment="1">
      <alignment horizontal="center" vertical="top" wrapText="1"/>
    </xf>
    <xf numFmtId="0" fontId="27" fillId="0" borderId="0" xfId="0" applyFont="1" applyFill="1" applyBorder="1" applyAlignment="1">
      <alignment horizontal="center" vertical="center" wrapText="1"/>
    </xf>
    <xf numFmtId="0" fontId="24" fillId="0" borderId="0" xfId="0" applyFont="1" applyFill="1" applyBorder="1" applyAlignment="1">
      <alignment horizontal="right"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1952625</xdr:colOff>
      <xdr:row>4</xdr:row>
      <xdr:rowOff>85725</xdr:rowOff>
    </xdr:from>
    <xdr:to>
      <xdr:col>3</xdr:col>
      <xdr:colOff>9525</xdr:colOff>
      <xdr:row>4</xdr:row>
      <xdr:rowOff>85725</xdr:rowOff>
    </xdr:to>
    <xdr:cxnSp macro="">
      <xdr:nvCxnSpPr>
        <xdr:cNvPr id="3" name="Straight Connector 2"/>
        <xdr:cNvCxnSpPr/>
      </xdr:nvCxnSpPr>
      <xdr:spPr>
        <a:xfrm>
          <a:off x="2324100" y="1095375"/>
          <a:ext cx="1914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590550</xdr:colOff>
      <xdr:row>4</xdr:row>
      <xdr:rowOff>85725</xdr:rowOff>
    </xdr:from>
    <xdr:to>
      <xdr:col>4</xdr:col>
      <xdr:colOff>619125</xdr:colOff>
      <xdr:row>4</xdr:row>
      <xdr:rowOff>85725</xdr:rowOff>
    </xdr:to>
    <xdr:cxnSp macro="">
      <xdr:nvCxnSpPr>
        <xdr:cNvPr id="3" name="Straight Connector 2"/>
        <xdr:cNvCxnSpPr/>
      </xdr:nvCxnSpPr>
      <xdr:spPr>
        <a:xfrm>
          <a:off x="2409825" y="1123950"/>
          <a:ext cx="1390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0</xdr:colOff>
      <xdr:row>4</xdr:row>
      <xdr:rowOff>66675</xdr:rowOff>
    </xdr:from>
    <xdr:to>
      <xdr:col>18</xdr:col>
      <xdr:colOff>323850</xdr:colOff>
      <xdr:row>4</xdr:row>
      <xdr:rowOff>66675</xdr:rowOff>
    </xdr:to>
    <xdr:cxnSp macro="">
      <xdr:nvCxnSpPr>
        <xdr:cNvPr id="3" name="Straight Connector 2"/>
        <xdr:cNvCxnSpPr/>
      </xdr:nvCxnSpPr>
      <xdr:spPr>
        <a:xfrm>
          <a:off x="3581400" y="809625"/>
          <a:ext cx="22383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2009775</xdr:colOff>
      <xdr:row>5</xdr:row>
      <xdr:rowOff>66675</xdr:rowOff>
    </xdr:from>
    <xdr:to>
      <xdr:col>2</xdr:col>
      <xdr:colOff>876300</xdr:colOff>
      <xdr:row>5</xdr:row>
      <xdr:rowOff>66675</xdr:rowOff>
    </xdr:to>
    <xdr:cxnSp macro="">
      <xdr:nvCxnSpPr>
        <xdr:cNvPr id="3" name="Straight Connector 2"/>
        <xdr:cNvCxnSpPr/>
      </xdr:nvCxnSpPr>
      <xdr:spPr>
        <a:xfrm>
          <a:off x="2371725" y="1304925"/>
          <a:ext cx="1619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1790700</xdr:colOff>
      <xdr:row>4</xdr:row>
      <xdr:rowOff>66675</xdr:rowOff>
    </xdr:from>
    <xdr:to>
      <xdr:col>2</xdr:col>
      <xdr:colOff>276225</xdr:colOff>
      <xdr:row>4</xdr:row>
      <xdr:rowOff>66675</xdr:rowOff>
    </xdr:to>
    <xdr:cxnSp macro="">
      <xdr:nvCxnSpPr>
        <xdr:cNvPr id="3" name="Straight Connector 2"/>
        <xdr:cNvCxnSpPr/>
      </xdr:nvCxnSpPr>
      <xdr:spPr>
        <a:xfrm>
          <a:off x="2124075" y="1323975"/>
          <a:ext cx="1514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2952750</xdr:colOff>
      <xdr:row>4</xdr:row>
      <xdr:rowOff>76200</xdr:rowOff>
    </xdr:from>
    <xdr:to>
      <xdr:col>4</xdr:col>
      <xdr:colOff>0</xdr:colOff>
      <xdr:row>4</xdr:row>
      <xdr:rowOff>76200</xdr:rowOff>
    </xdr:to>
    <xdr:cxnSp macro="">
      <xdr:nvCxnSpPr>
        <xdr:cNvPr id="3" name="Straight Connector 2"/>
        <xdr:cNvCxnSpPr/>
      </xdr:nvCxnSpPr>
      <xdr:spPr>
        <a:xfrm>
          <a:off x="3276600" y="876300"/>
          <a:ext cx="2133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1743075</xdr:colOff>
      <xdr:row>4</xdr:row>
      <xdr:rowOff>66675</xdr:rowOff>
    </xdr:from>
    <xdr:to>
      <xdr:col>1</xdr:col>
      <xdr:colOff>3305175</xdr:colOff>
      <xdr:row>4</xdr:row>
      <xdr:rowOff>66675</xdr:rowOff>
    </xdr:to>
    <xdr:cxnSp macro="">
      <xdr:nvCxnSpPr>
        <xdr:cNvPr id="3" name="Straight Connector 2"/>
        <xdr:cNvCxnSpPr/>
      </xdr:nvCxnSpPr>
      <xdr:spPr>
        <a:xfrm>
          <a:off x="2038350" y="1143000"/>
          <a:ext cx="1562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1933575</xdr:colOff>
      <xdr:row>4</xdr:row>
      <xdr:rowOff>66675</xdr:rowOff>
    </xdr:from>
    <xdr:to>
      <xdr:col>2</xdr:col>
      <xdr:colOff>581025</xdr:colOff>
      <xdr:row>4</xdr:row>
      <xdr:rowOff>66675</xdr:rowOff>
    </xdr:to>
    <xdr:cxnSp macro="">
      <xdr:nvCxnSpPr>
        <xdr:cNvPr id="3" name="Straight Connector 2"/>
        <xdr:cNvCxnSpPr/>
      </xdr:nvCxnSpPr>
      <xdr:spPr>
        <a:xfrm>
          <a:off x="2247900" y="1095375"/>
          <a:ext cx="1362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3829050</xdr:colOff>
      <xdr:row>4</xdr:row>
      <xdr:rowOff>85725</xdr:rowOff>
    </xdr:from>
    <xdr:to>
      <xdr:col>4</xdr:col>
      <xdr:colOff>304800</xdr:colOff>
      <xdr:row>4</xdr:row>
      <xdr:rowOff>85725</xdr:rowOff>
    </xdr:to>
    <xdr:cxnSp macro="">
      <xdr:nvCxnSpPr>
        <xdr:cNvPr id="3" name="Straight Connector 2"/>
        <xdr:cNvCxnSpPr/>
      </xdr:nvCxnSpPr>
      <xdr:spPr>
        <a:xfrm>
          <a:off x="4152900" y="1123950"/>
          <a:ext cx="1962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28575</xdr:colOff>
      <xdr:row>3</xdr:row>
      <xdr:rowOff>57150</xdr:rowOff>
    </xdr:from>
    <xdr:to>
      <xdr:col>13</xdr:col>
      <xdr:colOff>190500</xdr:colOff>
      <xdr:row>3</xdr:row>
      <xdr:rowOff>57150</xdr:rowOff>
    </xdr:to>
    <xdr:cxnSp macro="">
      <xdr:nvCxnSpPr>
        <xdr:cNvPr id="3" name="Straight Connector 2"/>
        <xdr:cNvCxnSpPr/>
      </xdr:nvCxnSpPr>
      <xdr:spPr>
        <a:xfrm>
          <a:off x="5734050" y="533400"/>
          <a:ext cx="1724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28575</xdr:colOff>
      <xdr:row>4</xdr:row>
      <xdr:rowOff>85725</xdr:rowOff>
    </xdr:from>
    <xdr:to>
      <xdr:col>10</xdr:col>
      <xdr:colOff>276225</xdr:colOff>
      <xdr:row>4</xdr:row>
      <xdr:rowOff>85725</xdr:rowOff>
    </xdr:to>
    <xdr:cxnSp macro="">
      <xdr:nvCxnSpPr>
        <xdr:cNvPr id="3" name="Straight Connector 2"/>
        <xdr:cNvCxnSpPr/>
      </xdr:nvCxnSpPr>
      <xdr:spPr>
        <a:xfrm>
          <a:off x="4886325" y="885825"/>
          <a:ext cx="2009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0</xdr:colOff>
      <xdr:row>4</xdr:row>
      <xdr:rowOff>57150</xdr:rowOff>
    </xdr:from>
    <xdr:to>
      <xdr:col>13</xdr:col>
      <xdr:colOff>171450</xdr:colOff>
      <xdr:row>4</xdr:row>
      <xdr:rowOff>57150</xdr:rowOff>
    </xdr:to>
    <xdr:cxnSp macro="">
      <xdr:nvCxnSpPr>
        <xdr:cNvPr id="3" name="Straight Connector 2"/>
        <xdr:cNvCxnSpPr/>
      </xdr:nvCxnSpPr>
      <xdr:spPr>
        <a:xfrm>
          <a:off x="4752975" y="800100"/>
          <a:ext cx="1714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5"/>
  <sheetViews>
    <sheetView workbookViewId="0">
      <selection activeCell="A4" sqref="A4:F4"/>
    </sheetView>
  </sheetViews>
  <sheetFormatPr defaultRowHeight="15" x14ac:dyDescent="0.25"/>
  <cols>
    <col min="1" max="1" width="5.5703125" customWidth="1"/>
    <col min="2" max="2" width="45.7109375" customWidth="1"/>
    <col min="3" max="3" width="12.140625" customWidth="1"/>
    <col min="4" max="4" width="12.85546875" customWidth="1"/>
    <col min="5" max="5" width="11.7109375" customWidth="1"/>
    <col min="6" max="6" width="10.42578125" customWidth="1"/>
    <col min="7" max="7" width="9.85546875" bestFit="1" customWidth="1"/>
    <col min="10" max="11" width="10.140625" bestFit="1" customWidth="1"/>
  </cols>
  <sheetData>
    <row r="1" spans="1:16" ht="17.25" customHeight="1" x14ac:dyDescent="0.25">
      <c r="A1" s="226"/>
      <c r="B1" s="226"/>
      <c r="E1" s="9"/>
      <c r="F1" s="1"/>
    </row>
    <row r="2" spans="1:16" ht="11.25" customHeight="1" x14ac:dyDescent="0.25">
      <c r="A2" s="20"/>
      <c r="B2" s="19"/>
      <c r="F2" s="1"/>
    </row>
    <row r="3" spans="1:16" ht="20.25" customHeight="1" x14ac:dyDescent="0.25">
      <c r="A3" s="227" t="s">
        <v>531</v>
      </c>
      <c r="B3" s="227"/>
      <c r="C3" s="227"/>
      <c r="D3" s="227"/>
      <c r="E3" s="227"/>
      <c r="F3" s="227"/>
    </row>
    <row r="4" spans="1:16" ht="30.75" customHeight="1" x14ac:dyDescent="0.25">
      <c r="A4" s="228" t="s">
        <v>577</v>
      </c>
      <c r="B4" s="229"/>
      <c r="C4" s="229"/>
      <c r="D4" s="229"/>
      <c r="E4" s="229"/>
      <c r="F4" s="229"/>
      <c r="G4" s="50"/>
      <c r="H4" s="50"/>
      <c r="I4" s="50"/>
      <c r="J4" s="50"/>
      <c r="K4" s="50"/>
      <c r="L4" s="50"/>
      <c r="M4" s="50"/>
      <c r="N4" s="50"/>
      <c r="O4" s="50"/>
      <c r="P4" s="50"/>
    </row>
    <row r="5" spans="1:16" ht="15.75" customHeight="1" x14ac:dyDescent="0.25">
      <c r="A5" s="96"/>
      <c r="B5" s="96"/>
      <c r="C5" s="96"/>
      <c r="D5" s="96"/>
      <c r="E5" s="96"/>
      <c r="F5" s="96"/>
      <c r="G5" s="50"/>
      <c r="H5" s="50"/>
      <c r="I5" s="50"/>
      <c r="J5" s="50"/>
      <c r="K5" s="50"/>
      <c r="L5" s="50"/>
      <c r="M5" s="50"/>
      <c r="N5" s="50"/>
      <c r="O5" s="50"/>
      <c r="P5" s="50"/>
    </row>
    <row r="6" spans="1:16" s="101" customFormat="1" ht="14.25" customHeight="1" x14ac:dyDescent="0.25">
      <c r="F6" s="2" t="s">
        <v>5</v>
      </c>
    </row>
    <row r="7" spans="1:16" s="101" customFormat="1" ht="19.5" customHeight="1" x14ac:dyDescent="0.25">
      <c r="A7" s="231" t="s">
        <v>557</v>
      </c>
      <c r="B7" s="231" t="s">
        <v>453</v>
      </c>
      <c r="C7" s="231" t="s">
        <v>124</v>
      </c>
      <c r="D7" s="231" t="s">
        <v>132</v>
      </c>
      <c r="E7" s="231" t="s">
        <v>31</v>
      </c>
      <c r="F7" s="231"/>
    </row>
    <row r="8" spans="1:16" s="101" customFormat="1" ht="34.5" customHeight="1" x14ac:dyDescent="0.25">
      <c r="A8" s="231"/>
      <c r="B8" s="231"/>
      <c r="C8" s="231"/>
      <c r="D8" s="231"/>
      <c r="E8" s="146" t="s">
        <v>32</v>
      </c>
      <c r="F8" s="146" t="s">
        <v>82</v>
      </c>
    </row>
    <row r="9" spans="1:16" s="101" customFormat="1" ht="15.75" x14ac:dyDescent="0.25">
      <c r="A9" s="42" t="s">
        <v>2</v>
      </c>
      <c r="B9" s="42" t="s">
        <v>3</v>
      </c>
      <c r="C9" s="42">
        <v>1</v>
      </c>
      <c r="D9" s="42">
        <v>2</v>
      </c>
      <c r="E9" s="42" t="s">
        <v>61</v>
      </c>
      <c r="F9" s="42" t="s">
        <v>62</v>
      </c>
    </row>
    <row r="10" spans="1:16" s="101" customFormat="1" ht="15.75" x14ac:dyDescent="0.25">
      <c r="A10" s="146" t="s">
        <v>2</v>
      </c>
      <c r="B10" s="11" t="s">
        <v>33</v>
      </c>
      <c r="C10" s="33">
        <f>C11+C14+C17</f>
        <v>10378474</v>
      </c>
      <c r="D10" s="33">
        <f>D11+D14+D19+D20++D21+D22+D17+D18</f>
        <v>19558788</v>
      </c>
      <c r="E10" s="33">
        <f>E11+E14+E17+E19+E20+E21+E22+E18</f>
        <v>9180314</v>
      </c>
      <c r="F10" s="34">
        <f>D10/C10*100</f>
        <v>188.45533553391377</v>
      </c>
    </row>
    <row r="11" spans="1:16" s="101" customFormat="1" ht="15.75" x14ac:dyDescent="0.25">
      <c r="A11" s="146" t="s">
        <v>11</v>
      </c>
      <c r="B11" s="11" t="s">
        <v>63</v>
      </c>
      <c r="C11" s="33">
        <f>C12+C13</f>
        <v>7019520</v>
      </c>
      <c r="D11" s="33">
        <f>D12+D13</f>
        <v>8145304</v>
      </c>
      <c r="E11" s="33">
        <f t="shared" ref="E11:E16" si="0">D11-C11</f>
        <v>1125784</v>
      </c>
      <c r="F11" s="34">
        <f>D11/C11*100</f>
        <v>116.03790572574763</v>
      </c>
    </row>
    <row r="12" spans="1:16" s="101" customFormat="1" ht="15.75" x14ac:dyDescent="0.25">
      <c r="A12" s="42" t="s">
        <v>4</v>
      </c>
      <c r="B12" s="7" t="s">
        <v>64</v>
      </c>
      <c r="C12" s="156">
        <v>2744850</v>
      </c>
      <c r="D12" s="156">
        <v>2907292</v>
      </c>
      <c r="E12" s="156">
        <f t="shared" si="0"/>
        <v>162442</v>
      </c>
      <c r="F12" s="157">
        <f>D12/C12*100</f>
        <v>105.9180647394211</v>
      </c>
      <c r="H12" s="158"/>
    </row>
    <row r="13" spans="1:16" s="101" customFormat="1" ht="15.75" x14ac:dyDescent="0.25">
      <c r="A13" s="42" t="s">
        <v>4</v>
      </c>
      <c r="B13" s="7" t="s">
        <v>65</v>
      </c>
      <c r="C13" s="156">
        <v>4274670</v>
      </c>
      <c r="D13" s="156">
        <v>5238012</v>
      </c>
      <c r="E13" s="156">
        <f t="shared" si="0"/>
        <v>963342</v>
      </c>
      <c r="F13" s="157">
        <f>D13/C13*100</f>
        <v>122.53605541480394</v>
      </c>
    </row>
    <row r="14" spans="1:16" s="101" customFormat="1" ht="15.75" x14ac:dyDescent="0.25">
      <c r="A14" s="146" t="s">
        <v>7</v>
      </c>
      <c r="B14" s="11" t="s">
        <v>133</v>
      </c>
      <c r="C14" s="33">
        <f>C15+C16</f>
        <v>3358954</v>
      </c>
      <c r="D14" s="33">
        <f>D15+D16</f>
        <v>3503131</v>
      </c>
      <c r="E14" s="33">
        <f t="shared" si="0"/>
        <v>144177</v>
      </c>
      <c r="F14" s="34">
        <f>D14/C14*100</f>
        <v>104.29231838244881</v>
      </c>
    </row>
    <row r="15" spans="1:16" s="101" customFormat="1" ht="15.75" x14ac:dyDescent="0.25">
      <c r="A15" s="42">
        <v>1</v>
      </c>
      <c r="B15" s="7" t="s">
        <v>34</v>
      </c>
      <c r="C15" s="156">
        <v>1895125</v>
      </c>
      <c r="D15" s="156">
        <v>1937430</v>
      </c>
      <c r="E15" s="156">
        <f t="shared" si="0"/>
        <v>42305</v>
      </c>
      <c r="F15" s="157">
        <f t="shared" ref="F15:F16" si="1">D15/C15*100</f>
        <v>102.23230657608337</v>
      </c>
    </row>
    <row r="16" spans="1:16" s="101" customFormat="1" ht="15.75" x14ac:dyDescent="0.25">
      <c r="A16" s="42">
        <v>2</v>
      </c>
      <c r="B16" s="7" t="s">
        <v>12</v>
      </c>
      <c r="C16" s="156">
        <f>3358954-C15</f>
        <v>1463829</v>
      </c>
      <c r="D16" s="156">
        <v>1565701</v>
      </c>
      <c r="E16" s="156">
        <f t="shared" si="0"/>
        <v>101872</v>
      </c>
      <c r="F16" s="157">
        <f t="shared" si="1"/>
        <v>106.95928281240501</v>
      </c>
    </row>
    <row r="17" spans="1:13" s="101" customFormat="1" ht="15.75" x14ac:dyDescent="0.25">
      <c r="A17" s="146" t="s">
        <v>8</v>
      </c>
      <c r="B17" s="11" t="s">
        <v>175</v>
      </c>
      <c r="C17" s="33"/>
      <c r="D17" s="33">
        <v>19334</v>
      </c>
      <c r="E17" s="33">
        <f>D17-C17</f>
        <v>19334</v>
      </c>
      <c r="F17" s="42"/>
    </row>
    <row r="18" spans="1:13" s="101" customFormat="1" ht="15.75" x14ac:dyDescent="0.25">
      <c r="A18" s="146" t="s">
        <v>9</v>
      </c>
      <c r="B18" s="11" t="s">
        <v>35</v>
      </c>
      <c r="C18" s="12"/>
      <c r="D18" s="33">
        <v>36968</v>
      </c>
      <c r="E18" s="33">
        <f t="shared" ref="E18:E22" si="2">D18-C18</f>
        <v>36968</v>
      </c>
      <c r="F18" s="42"/>
      <c r="I18" s="158"/>
    </row>
    <row r="19" spans="1:13" s="101" customFormat="1" ht="15.75" x14ac:dyDescent="0.25">
      <c r="A19" s="146" t="s">
        <v>23</v>
      </c>
      <c r="B19" s="11" t="s">
        <v>53</v>
      </c>
      <c r="C19" s="12"/>
      <c r="D19" s="33">
        <v>1195883</v>
      </c>
      <c r="E19" s="33">
        <f t="shared" si="2"/>
        <v>1195883</v>
      </c>
      <c r="F19" s="42"/>
    </row>
    <row r="20" spans="1:13" s="101" customFormat="1" ht="15.75" x14ac:dyDescent="0.25">
      <c r="A20" s="146" t="s">
        <v>92</v>
      </c>
      <c r="B20" s="11" t="s">
        <v>36</v>
      </c>
      <c r="C20" s="12"/>
      <c r="D20" s="33">
        <v>6627929</v>
      </c>
      <c r="E20" s="33">
        <f t="shared" si="2"/>
        <v>6627929</v>
      </c>
      <c r="F20" s="42"/>
    </row>
    <row r="21" spans="1:13" s="101" customFormat="1" ht="15.75" x14ac:dyDescent="0.25">
      <c r="A21" s="146" t="s">
        <v>126</v>
      </c>
      <c r="B21" s="11" t="s">
        <v>177</v>
      </c>
      <c r="C21" s="12"/>
      <c r="D21" s="33">
        <v>29479</v>
      </c>
      <c r="E21" s="33">
        <f t="shared" si="2"/>
        <v>29479</v>
      </c>
      <c r="F21" s="42"/>
      <c r="H21" s="158"/>
    </row>
    <row r="22" spans="1:13" s="101" customFormat="1" ht="15.75" x14ac:dyDescent="0.25">
      <c r="A22" s="146" t="s">
        <v>178</v>
      </c>
      <c r="B22" s="11" t="s">
        <v>176</v>
      </c>
      <c r="C22" s="12"/>
      <c r="D22" s="33">
        <v>760</v>
      </c>
      <c r="E22" s="33">
        <f t="shared" si="2"/>
        <v>760</v>
      </c>
      <c r="F22" s="42"/>
      <c r="H22" s="158"/>
      <c r="J22" s="158"/>
    </row>
    <row r="23" spans="1:13" s="101" customFormat="1" ht="15.75" x14ac:dyDescent="0.25">
      <c r="A23" s="146" t="s">
        <v>3</v>
      </c>
      <c r="B23" s="11" t="s">
        <v>14</v>
      </c>
      <c r="C23" s="33">
        <f>C24+C31+C36</f>
        <v>10378474</v>
      </c>
      <c r="D23" s="33">
        <f>D24+D31+D34+D35</f>
        <v>17679181</v>
      </c>
      <c r="E23" s="33">
        <f>E24+E31+E34+E35+E36</f>
        <v>7300707</v>
      </c>
      <c r="F23" s="34">
        <f>D23/C23*100</f>
        <v>170.34470578237224</v>
      </c>
      <c r="G23" s="158"/>
      <c r="H23" s="158"/>
    </row>
    <row r="24" spans="1:13" s="101" customFormat="1" ht="15.75" x14ac:dyDescent="0.25">
      <c r="A24" s="146" t="s">
        <v>11</v>
      </c>
      <c r="B24" s="11" t="s">
        <v>134</v>
      </c>
      <c r="C24" s="33">
        <f>C25+C26+C27+C28+C29+C30</f>
        <v>9025015</v>
      </c>
      <c r="D24" s="33">
        <f>D25+D26+D27+D28+D29+D30</f>
        <v>9107387</v>
      </c>
      <c r="E24" s="33">
        <f>D24-C24</f>
        <v>82372</v>
      </c>
      <c r="F24" s="34">
        <f>D24/C24*100</f>
        <v>100.91270762430867</v>
      </c>
    </row>
    <row r="25" spans="1:13" s="101" customFormat="1" ht="15.75" x14ac:dyDescent="0.25">
      <c r="A25" s="42">
        <v>1</v>
      </c>
      <c r="B25" s="6" t="s">
        <v>66</v>
      </c>
      <c r="C25" s="12">
        <v>2194768</v>
      </c>
      <c r="D25" s="12">
        <f>2683554+29000</f>
        <v>2712554</v>
      </c>
      <c r="E25" s="12">
        <f t="shared" ref="E25:E27" si="3">D25-C25</f>
        <v>517786</v>
      </c>
      <c r="F25" s="18">
        <f t="shared" ref="F25:F26" si="4">D25/C25*100</f>
        <v>123.59183294088487</v>
      </c>
    </row>
    <row r="26" spans="1:13" s="101" customFormat="1" ht="15.75" x14ac:dyDescent="0.25">
      <c r="A26" s="42">
        <v>2</v>
      </c>
      <c r="B26" s="6" t="s">
        <v>15</v>
      </c>
      <c r="C26" s="12">
        <v>6533230</v>
      </c>
      <c r="D26" s="12">
        <v>6393100</v>
      </c>
      <c r="E26" s="12">
        <f t="shared" si="3"/>
        <v>-140130</v>
      </c>
      <c r="F26" s="18">
        <f t="shared" si="4"/>
        <v>97.855119137088394</v>
      </c>
      <c r="G26" s="158"/>
    </row>
    <row r="27" spans="1:13" s="101" customFormat="1" ht="31.5" x14ac:dyDescent="0.25">
      <c r="A27" s="42">
        <v>3</v>
      </c>
      <c r="B27" s="6" t="s">
        <v>16</v>
      </c>
      <c r="C27" s="12">
        <v>2600</v>
      </c>
      <c r="D27" s="12">
        <v>733</v>
      </c>
      <c r="E27" s="12">
        <f t="shared" si="3"/>
        <v>-1867</v>
      </c>
      <c r="F27" s="18"/>
      <c r="K27" s="158"/>
    </row>
    <row r="28" spans="1:13" s="101" customFormat="1" ht="15.75" x14ac:dyDescent="0.25">
      <c r="A28" s="42">
        <v>4</v>
      </c>
      <c r="B28" s="6" t="s">
        <v>37</v>
      </c>
      <c r="C28" s="12">
        <v>1000</v>
      </c>
      <c r="D28" s="12">
        <v>1000</v>
      </c>
      <c r="E28" s="12">
        <f t="shared" ref="E28:E34" si="5">D28-C28</f>
        <v>0</v>
      </c>
      <c r="F28" s="18"/>
    </row>
    <row r="29" spans="1:13" s="101" customFormat="1" ht="15.75" x14ac:dyDescent="0.25">
      <c r="A29" s="42">
        <v>5</v>
      </c>
      <c r="B29" s="6" t="s">
        <v>38</v>
      </c>
      <c r="C29" s="12">
        <v>185080</v>
      </c>
      <c r="D29" s="12"/>
      <c r="E29" s="12">
        <f t="shared" si="5"/>
        <v>-185080</v>
      </c>
      <c r="F29" s="18"/>
    </row>
    <row r="30" spans="1:13" s="101" customFormat="1" ht="15.75" x14ac:dyDescent="0.25">
      <c r="A30" s="42">
        <v>6</v>
      </c>
      <c r="B30" s="6" t="s">
        <v>17</v>
      </c>
      <c r="C30" s="12">
        <v>108337</v>
      </c>
      <c r="D30" s="12"/>
      <c r="E30" s="12">
        <f t="shared" si="5"/>
        <v>-108337</v>
      </c>
      <c r="F30" s="42"/>
      <c r="I30" s="158"/>
      <c r="M30" s="101" t="s">
        <v>482</v>
      </c>
    </row>
    <row r="31" spans="1:13" s="101" customFormat="1" ht="15.75" x14ac:dyDescent="0.25">
      <c r="A31" s="146" t="s">
        <v>7</v>
      </c>
      <c r="B31" s="11" t="s">
        <v>39</v>
      </c>
      <c r="C31" s="33">
        <f>C32+C33</f>
        <v>1345859</v>
      </c>
      <c r="D31" s="159">
        <f>D32+D33</f>
        <v>1447384</v>
      </c>
      <c r="E31" s="33">
        <f t="shared" si="5"/>
        <v>101525</v>
      </c>
      <c r="F31" s="34">
        <f>D31/C31*100</f>
        <v>107.54350938694172</v>
      </c>
    </row>
    <row r="32" spans="1:13" s="101" customFormat="1" ht="15.75" x14ac:dyDescent="0.25">
      <c r="A32" s="42">
        <v>1</v>
      </c>
      <c r="B32" s="6" t="s">
        <v>40</v>
      </c>
      <c r="C32" s="12">
        <v>248129</v>
      </c>
      <c r="D32" s="12">
        <v>232332</v>
      </c>
      <c r="E32" s="12">
        <f t="shared" si="5"/>
        <v>-15797</v>
      </c>
      <c r="F32" s="18">
        <f>D32/C32*100</f>
        <v>93.633553514502537</v>
      </c>
    </row>
    <row r="33" spans="1:11" s="101" customFormat="1" ht="15.75" x14ac:dyDescent="0.25">
      <c r="A33" s="42">
        <v>2</v>
      </c>
      <c r="B33" s="6" t="s">
        <v>41</v>
      </c>
      <c r="C33" s="12">
        <f>1345859-C32</f>
        <v>1097730</v>
      </c>
      <c r="D33" s="12">
        <f>1447384-D32</f>
        <v>1215052</v>
      </c>
      <c r="E33" s="12">
        <f t="shared" si="5"/>
        <v>117322</v>
      </c>
      <c r="F33" s="18">
        <f>D33/C33*100</f>
        <v>110.68769187322931</v>
      </c>
    </row>
    <row r="34" spans="1:11" s="101" customFormat="1" ht="15.75" x14ac:dyDescent="0.25">
      <c r="A34" s="146" t="s">
        <v>8</v>
      </c>
      <c r="B34" s="11" t="s">
        <v>42</v>
      </c>
      <c r="C34" s="12"/>
      <c r="D34" s="33">
        <v>6896924</v>
      </c>
      <c r="E34" s="33">
        <f t="shared" si="5"/>
        <v>6896924</v>
      </c>
      <c r="F34" s="42"/>
    </row>
    <row r="35" spans="1:11" s="101" customFormat="1" ht="15.75" x14ac:dyDescent="0.25">
      <c r="A35" s="146" t="s">
        <v>9</v>
      </c>
      <c r="B35" s="11" t="s">
        <v>174</v>
      </c>
      <c r="C35" s="12"/>
      <c r="D35" s="33">
        <v>227486</v>
      </c>
      <c r="E35" s="33">
        <f t="shared" ref="E35" si="6">D35-C35</f>
        <v>227486</v>
      </c>
      <c r="F35" s="42"/>
    </row>
    <row r="36" spans="1:11" s="101" customFormat="1" ht="15.75" x14ac:dyDescent="0.25">
      <c r="A36" s="146" t="s">
        <v>23</v>
      </c>
      <c r="B36" s="11" t="s">
        <v>498</v>
      </c>
      <c r="C36" s="33">
        <v>7600</v>
      </c>
      <c r="D36" s="33"/>
      <c r="E36" s="33">
        <f>D36-C36</f>
        <v>-7600</v>
      </c>
      <c r="F36" s="42"/>
    </row>
    <row r="37" spans="1:11" s="101" customFormat="1" ht="15.75" x14ac:dyDescent="0.25">
      <c r="A37" s="146" t="s">
        <v>10</v>
      </c>
      <c r="B37" s="11" t="s">
        <v>173</v>
      </c>
      <c r="C37" s="12"/>
      <c r="D37" s="33">
        <f>D10-D23</f>
        <v>1879607</v>
      </c>
      <c r="E37" s="33"/>
      <c r="F37" s="42"/>
    </row>
    <row r="38" spans="1:11" s="101" customFormat="1" ht="15.75" x14ac:dyDescent="0.25">
      <c r="A38" s="146" t="s">
        <v>13</v>
      </c>
      <c r="B38" s="11" t="s">
        <v>135</v>
      </c>
      <c r="C38" s="33">
        <v>29000</v>
      </c>
      <c r="D38" s="33">
        <v>29000</v>
      </c>
      <c r="E38" s="33">
        <f>D38-C38</f>
        <v>0</v>
      </c>
      <c r="F38" s="34">
        <f>D38/C38*100</f>
        <v>100</v>
      </c>
    </row>
    <row r="39" spans="1:11" s="101" customFormat="1" ht="15.75" hidden="1" x14ac:dyDescent="0.25">
      <c r="A39" s="146" t="s">
        <v>11</v>
      </c>
      <c r="B39" s="11" t="s">
        <v>20</v>
      </c>
      <c r="C39" s="33"/>
      <c r="D39" s="33"/>
      <c r="E39" s="42"/>
      <c r="F39" s="42"/>
    </row>
    <row r="40" spans="1:11" s="101" customFormat="1" ht="31.5" hidden="1" x14ac:dyDescent="0.25">
      <c r="A40" s="146" t="s">
        <v>7</v>
      </c>
      <c r="B40" s="11" t="s">
        <v>43</v>
      </c>
      <c r="C40" s="33"/>
      <c r="D40" s="33"/>
      <c r="E40" s="42"/>
      <c r="F40" s="42"/>
    </row>
    <row r="41" spans="1:11" s="101" customFormat="1" ht="19.5" customHeight="1" x14ac:dyDescent="0.25">
      <c r="A41" s="146" t="s">
        <v>18</v>
      </c>
      <c r="B41" s="11" t="s">
        <v>67</v>
      </c>
      <c r="C41" s="33">
        <f>C42+C43</f>
        <v>21400</v>
      </c>
      <c r="D41" s="33">
        <f>D42</f>
        <v>19334</v>
      </c>
      <c r="E41" s="42"/>
      <c r="F41" s="42"/>
    </row>
    <row r="42" spans="1:11" s="101" customFormat="1" ht="17.25" customHeight="1" x14ac:dyDescent="0.25">
      <c r="A42" s="42" t="s">
        <v>11</v>
      </c>
      <c r="B42" s="6" t="s">
        <v>21</v>
      </c>
      <c r="C42" s="12"/>
      <c r="D42" s="12">
        <v>19334</v>
      </c>
      <c r="E42" s="42"/>
      <c r="F42" s="42"/>
    </row>
    <row r="43" spans="1:11" s="101" customFormat="1" ht="15.75" customHeight="1" x14ac:dyDescent="0.25">
      <c r="A43" s="42" t="s">
        <v>7</v>
      </c>
      <c r="B43" s="6" t="s">
        <v>22</v>
      </c>
      <c r="C43" s="12">
        <v>21400</v>
      </c>
      <c r="D43" s="33"/>
      <c r="E43" s="42"/>
      <c r="F43" s="42"/>
    </row>
    <row r="44" spans="1:11" s="101" customFormat="1" ht="31.5" customHeight="1" x14ac:dyDescent="0.25">
      <c r="A44" s="146" t="s">
        <v>19</v>
      </c>
      <c r="B44" s="11" t="s">
        <v>136</v>
      </c>
      <c r="C44" s="12"/>
      <c r="D44" s="33">
        <v>52038</v>
      </c>
      <c r="E44" s="42"/>
      <c r="F44" s="42"/>
    </row>
    <row r="45" spans="1:11" ht="60" customHeight="1" x14ac:dyDescent="0.25">
      <c r="A45" s="230"/>
      <c r="B45" s="230"/>
      <c r="C45" s="230"/>
      <c r="D45" s="230"/>
      <c r="E45" s="230"/>
      <c r="F45" s="230"/>
      <c r="K45" t="s">
        <v>273</v>
      </c>
    </row>
  </sheetData>
  <mergeCells count="9">
    <mergeCell ref="A1:B1"/>
    <mergeCell ref="A3:F3"/>
    <mergeCell ref="A4:F4"/>
    <mergeCell ref="A45:F45"/>
    <mergeCell ref="A7:A8"/>
    <mergeCell ref="B7:B8"/>
    <mergeCell ref="C7:C8"/>
    <mergeCell ref="D7:D8"/>
    <mergeCell ref="E7:F7"/>
  </mergeCells>
  <pageMargins left="0.7" right="0.6" top="0.7" bottom="0.6" header="0.22" footer="0.31496062992126"/>
  <pageSetup paperSize="9" scale="90" orientation="portrait" r:id="rId1"/>
  <headerFooter>
    <oddHeader>&amp;R&amp;12Biểu số 01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23"/>
  <sheetViews>
    <sheetView topLeftCell="A4" zoomScaleNormal="100" workbookViewId="0">
      <selection activeCell="A4" sqref="A4:I4"/>
    </sheetView>
  </sheetViews>
  <sheetFormatPr defaultRowHeight="15" x14ac:dyDescent="0.25"/>
  <cols>
    <col min="1" max="1" width="5.140625" bestFit="1" customWidth="1"/>
    <col min="2" max="2" width="22.140625" customWidth="1"/>
    <col min="3" max="3" width="10" customWidth="1"/>
    <col min="4" max="4" width="10.42578125" customWidth="1"/>
    <col min="5" max="5" width="10" customWidth="1"/>
    <col min="6" max="6" width="7.42578125" customWidth="1"/>
    <col min="7" max="7" width="10" customWidth="1"/>
    <col min="8" max="8" width="9" customWidth="1"/>
    <col min="9" max="9" width="7.5703125" customWidth="1"/>
    <col min="10" max="10" width="10.140625" bestFit="1" customWidth="1"/>
  </cols>
  <sheetData>
    <row r="1" spans="1:19" ht="15.75" customHeight="1" x14ac:dyDescent="0.25">
      <c r="G1" s="259" t="s">
        <v>569</v>
      </c>
      <c r="H1" s="259"/>
      <c r="I1" s="259"/>
    </row>
    <row r="2" spans="1:19" ht="15.75" customHeight="1" x14ac:dyDescent="0.25">
      <c r="G2" s="208"/>
      <c r="H2" s="208"/>
      <c r="I2" s="208"/>
    </row>
    <row r="3" spans="1:19" s="101" customFormat="1" ht="16.5" customHeight="1" x14ac:dyDescent="0.25">
      <c r="A3" s="227" t="s">
        <v>533</v>
      </c>
      <c r="B3" s="227"/>
      <c r="C3" s="227"/>
      <c r="D3" s="227"/>
      <c r="E3" s="227"/>
      <c r="F3" s="227"/>
      <c r="G3" s="227"/>
      <c r="H3" s="227"/>
      <c r="I3" s="227"/>
    </row>
    <row r="4" spans="1:19" s="101" customFormat="1" ht="33.75" customHeight="1" x14ac:dyDescent="0.25">
      <c r="A4" s="233" t="s">
        <v>585</v>
      </c>
      <c r="B4" s="234"/>
      <c r="C4" s="234"/>
      <c r="D4" s="234"/>
      <c r="E4" s="234"/>
      <c r="F4" s="234"/>
      <c r="G4" s="234"/>
      <c r="H4" s="234"/>
      <c r="I4" s="234"/>
      <c r="J4" s="184"/>
      <c r="K4" s="184"/>
      <c r="L4" s="184"/>
      <c r="M4" s="184"/>
      <c r="N4" s="184"/>
      <c r="O4" s="184"/>
      <c r="P4" s="184"/>
      <c r="Q4" s="184"/>
      <c r="R4" s="184"/>
      <c r="S4" s="184"/>
    </row>
    <row r="5" spans="1:19" s="101" customFormat="1" ht="15.75" x14ac:dyDescent="0.25">
      <c r="A5" s="56"/>
      <c r="B5" s="56"/>
      <c r="C5" s="56"/>
      <c r="D5" s="56"/>
      <c r="E5" s="56"/>
      <c r="F5" s="56"/>
      <c r="G5" s="56"/>
      <c r="H5" s="56"/>
    </row>
    <row r="6" spans="1:19" s="101" customFormat="1" ht="15.75" x14ac:dyDescent="0.25">
      <c r="E6" s="260" t="s">
        <v>576</v>
      </c>
      <c r="F6" s="260"/>
      <c r="G6" s="260"/>
      <c r="H6" s="260"/>
      <c r="I6" s="260"/>
    </row>
    <row r="7" spans="1:19" s="101" customFormat="1" ht="15.75" x14ac:dyDescent="0.25">
      <c r="A7" s="231" t="s">
        <v>557</v>
      </c>
      <c r="B7" s="231" t="s">
        <v>28</v>
      </c>
      <c r="C7" s="231" t="s">
        <v>170</v>
      </c>
      <c r="D7" s="231" t="s">
        <v>29</v>
      </c>
      <c r="E7" s="231"/>
      <c r="F7" s="231"/>
      <c r="G7" s="231"/>
      <c r="H7" s="231"/>
      <c r="I7" s="231"/>
    </row>
    <row r="8" spans="1:19" s="101" customFormat="1" ht="129.75" customHeight="1" x14ac:dyDescent="0.25">
      <c r="A8" s="231"/>
      <c r="B8" s="231"/>
      <c r="C8" s="231"/>
      <c r="D8" s="146" t="s">
        <v>171</v>
      </c>
      <c r="E8" s="146" t="s">
        <v>555</v>
      </c>
      <c r="F8" s="146" t="s">
        <v>131</v>
      </c>
      <c r="G8" s="146" t="s">
        <v>36</v>
      </c>
      <c r="H8" s="146" t="s">
        <v>172</v>
      </c>
      <c r="I8" s="74" t="s">
        <v>459</v>
      </c>
    </row>
    <row r="9" spans="1:19" s="101" customFormat="1" ht="15.75" customHeight="1" x14ac:dyDescent="0.25">
      <c r="A9" s="146" t="s">
        <v>2</v>
      </c>
      <c r="B9" s="146" t="s">
        <v>3</v>
      </c>
      <c r="C9" s="146">
        <v>1</v>
      </c>
      <c r="D9" s="146">
        <v>2</v>
      </c>
      <c r="E9" s="146">
        <v>3</v>
      </c>
      <c r="F9" s="146">
        <v>4</v>
      </c>
      <c r="G9" s="146">
        <v>5</v>
      </c>
      <c r="H9" s="146">
        <v>6</v>
      </c>
      <c r="I9" s="102">
        <v>7</v>
      </c>
    </row>
    <row r="10" spans="1:19" s="101" customFormat="1" ht="26.25" customHeight="1" x14ac:dyDescent="0.25">
      <c r="A10" s="146"/>
      <c r="B10" s="11" t="s">
        <v>25</v>
      </c>
      <c r="C10" s="33">
        <f>SUM(C11:C20)</f>
        <v>8222125</v>
      </c>
      <c r="D10" s="33">
        <f>SUM(D11:D20)</f>
        <v>2204715</v>
      </c>
      <c r="E10" s="33">
        <f t="shared" ref="E10:I10" si="0">SUM(E11:E20)</f>
        <v>3520133</v>
      </c>
      <c r="F10" s="33">
        <f t="shared" si="0"/>
        <v>0</v>
      </c>
      <c r="G10" s="33">
        <f t="shared" si="0"/>
        <v>1525127</v>
      </c>
      <c r="H10" s="33">
        <f t="shared" si="0"/>
        <v>965603</v>
      </c>
      <c r="I10" s="33">
        <f t="shared" si="0"/>
        <v>6547</v>
      </c>
    </row>
    <row r="11" spans="1:19" s="190" customFormat="1" ht="22.5" customHeight="1" x14ac:dyDescent="0.25">
      <c r="A11" s="177">
        <v>1</v>
      </c>
      <c r="B11" s="89" t="s">
        <v>254</v>
      </c>
      <c r="C11" s="162">
        <f>1861966+203969-76444</f>
        <v>1989491</v>
      </c>
      <c r="D11" s="162">
        <f>1989491-E11-G11-H11-I11</f>
        <v>935088</v>
      </c>
      <c r="E11" s="162">
        <v>80181</v>
      </c>
      <c r="F11" s="159"/>
      <c r="G11" s="162">
        <v>804479</v>
      </c>
      <c r="H11" s="162">
        <v>168057</v>
      </c>
      <c r="I11" s="187">
        <v>1686</v>
      </c>
      <c r="J11" s="188"/>
      <c r="K11" s="189"/>
    </row>
    <row r="12" spans="1:19" s="101" customFormat="1" ht="22.5" customHeight="1" x14ac:dyDescent="0.25">
      <c r="A12" s="42">
        <v>2</v>
      </c>
      <c r="B12" s="6" t="s">
        <v>443</v>
      </c>
      <c r="C12" s="12">
        <f>747924+126694-80518</f>
        <v>794100</v>
      </c>
      <c r="D12" s="12">
        <f>794100-E12-G12-H12-I12</f>
        <v>167203</v>
      </c>
      <c r="E12" s="12">
        <v>345848</v>
      </c>
      <c r="F12" s="12"/>
      <c r="G12" s="12">
        <v>87286</v>
      </c>
      <c r="H12" s="12">
        <v>192699</v>
      </c>
      <c r="I12" s="106">
        <v>1064</v>
      </c>
      <c r="J12" s="158"/>
    </row>
    <row r="13" spans="1:19" s="101" customFormat="1" ht="22.5" customHeight="1" x14ac:dyDescent="0.25">
      <c r="A13" s="42">
        <v>3</v>
      </c>
      <c r="B13" s="6" t="s">
        <v>444</v>
      </c>
      <c r="C13" s="12">
        <f>764802+170819- 99781</f>
        <v>835840</v>
      </c>
      <c r="D13" s="12">
        <f>835840-E13-G13-H13-I13</f>
        <v>137763</v>
      </c>
      <c r="E13" s="12">
        <v>509559</v>
      </c>
      <c r="F13" s="12"/>
      <c r="G13" s="12">
        <v>140208</v>
      </c>
      <c r="H13" s="12">
        <v>48154</v>
      </c>
      <c r="I13" s="106">
        <v>156</v>
      </c>
      <c r="J13" s="158"/>
    </row>
    <row r="14" spans="1:19" s="101" customFormat="1" ht="22.5" customHeight="1" x14ac:dyDescent="0.25">
      <c r="A14" s="42">
        <v>4</v>
      </c>
      <c r="B14" s="6" t="s">
        <v>445</v>
      </c>
      <c r="C14" s="12">
        <f>968102+196348-120327</f>
        <v>1044123</v>
      </c>
      <c r="D14" s="12">
        <f>1044123-E14-G14-H14-I14</f>
        <v>318564</v>
      </c>
      <c r="E14" s="12">
        <v>476591</v>
      </c>
      <c r="F14" s="12"/>
      <c r="G14" s="12">
        <v>50293</v>
      </c>
      <c r="H14" s="12">
        <v>198675</v>
      </c>
      <c r="I14" s="106"/>
      <c r="J14" s="158"/>
    </row>
    <row r="15" spans="1:19" s="101" customFormat="1" ht="24.75" customHeight="1" x14ac:dyDescent="0.25">
      <c r="A15" s="42">
        <v>5</v>
      </c>
      <c r="B15" s="6" t="s">
        <v>446</v>
      </c>
      <c r="C15" s="12">
        <f>639606+124943-69950</f>
        <v>694599</v>
      </c>
      <c r="D15" s="12">
        <f>694599-E15-G15-H15-I15</f>
        <v>146979</v>
      </c>
      <c r="E15" s="12">
        <v>353945</v>
      </c>
      <c r="F15" s="12"/>
      <c r="G15" s="12">
        <v>104717</v>
      </c>
      <c r="H15" s="12">
        <v>87588</v>
      </c>
      <c r="I15" s="106">
        <v>1370</v>
      </c>
      <c r="J15" s="158"/>
    </row>
    <row r="16" spans="1:19" s="101" customFormat="1" ht="22.5" customHeight="1" x14ac:dyDescent="0.25">
      <c r="A16" s="42">
        <v>6</v>
      </c>
      <c r="B16" s="6" t="s">
        <v>447</v>
      </c>
      <c r="C16" s="12">
        <f>604573+78463-30287</f>
        <v>652749</v>
      </c>
      <c r="D16" s="12">
        <f>652749-E16-G16-H16-I16</f>
        <v>191138</v>
      </c>
      <c r="E16" s="12">
        <v>287618</v>
      </c>
      <c r="F16" s="12"/>
      <c r="G16" s="12">
        <v>34751</v>
      </c>
      <c r="H16" s="12">
        <v>138216</v>
      </c>
      <c r="I16" s="106">
        <v>1026</v>
      </c>
      <c r="J16" s="158"/>
    </row>
    <row r="17" spans="1:10" s="101" customFormat="1" ht="22.5" customHeight="1" x14ac:dyDescent="0.25">
      <c r="A17" s="42">
        <v>7</v>
      </c>
      <c r="B17" s="6" t="s">
        <v>448</v>
      </c>
      <c r="C17" s="12">
        <f>543689+134561-66262</f>
        <v>611988</v>
      </c>
      <c r="D17" s="12">
        <f>611988-E17-G17-H17-I17</f>
        <v>93238</v>
      </c>
      <c r="E17" s="12">
        <v>308655</v>
      </c>
      <c r="F17" s="12"/>
      <c r="G17" s="12">
        <v>136519</v>
      </c>
      <c r="H17" s="12">
        <v>73576</v>
      </c>
      <c r="I17" s="106"/>
      <c r="J17" s="158"/>
    </row>
    <row r="18" spans="1:10" s="101" customFormat="1" ht="22.5" customHeight="1" x14ac:dyDescent="0.25">
      <c r="A18" s="42">
        <v>8</v>
      </c>
      <c r="B18" s="6" t="s">
        <v>449</v>
      </c>
      <c r="C18" s="12">
        <f>693704+109455-75313</f>
        <v>727846</v>
      </c>
      <c r="D18" s="12">
        <f>727846-E18-G18-H18-I18</f>
        <v>112271</v>
      </c>
      <c r="E18" s="12">
        <v>491559</v>
      </c>
      <c r="F18" s="12"/>
      <c r="G18" s="12">
        <v>84000</v>
      </c>
      <c r="H18" s="12">
        <v>38832</v>
      </c>
      <c r="I18" s="106">
        <v>1184</v>
      </c>
      <c r="J18" s="158"/>
    </row>
    <row r="19" spans="1:10" s="101" customFormat="1" ht="22.5" customHeight="1" x14ac:dyDescent="0.25">
      <c r="A19" s="42">
        <v>9</v>
      </c>
      <c r="B19" s="6" t="s">
        <v>450</v>
      </c>
      <c r="C19" s="12">
        <f>569864+173449-139545+1</f>
        <v>603769</v>
      </c>
      <c r="D19" s="12">
        <f>603769-E19-G19-H19-I19</f>
        <v>69272</v>
      </c>
      <c r="E19" s="12">
        <v>506922</v>
      </c>
      <c r="F19" s="12"/>
      <c r="G19" s="12">
        <v>18267</v>
      </c>
      <c r="H19" s="12">
        <v>9247</v>
      </c>
      <c r="I19" s="106">
        <v>61</v>
      </c>
      <c r="J19" s="158"/>
    </row>
    <row r="20" spans="1:10" s="101" customFormat="1" ht="22.5" customHeight="1" x14ac:dyDescent="0.25">
      <c r="A20" s="42">
        <v>10</v>
      </c>
      <c r="B20" s="6" t="s">
        <v>451</v>
      </c>
      <c r="C20" s="12">
        <f>259144+24666-16190</f>
        <v>267620</v>
      </c>
      <c r="D20" s="12">
        <f>267620-E20-G20-H20-I20</f>
        <v>33199</v>
      </c>
      <c r="E20" s="12">
        <v>159255</v>
      </c>
      <c r="F20" s="12"/>
      <c r="G20" s="12">
        <v>64607</v>
      </c>
      <c r="H20" s="12">
        <v>10559</v>
      </c>
      <c r="I20" s="76"/>
      <c r="J20" s="158"/>
    </row>
    <row r="21" spans="1:10" s="101" customFormat="1" ht="15.75" x14ac:dyDescent="0.25">
      <c r="A21" s="185"/>
      <c r="E21" s="158"/>
      <c r="F21" s="186"/>
      <c r="G21" s="158"/>
      <c r="H21" s="158"/>
    </row>
    <row r="22" spans="1:10" s="101" customFormat="1" ht="15.75" x14ac:dyDescent="0.25"/>
    <row r="23" spans="1:10" s="101" customFormat="1" ht="15.75" x14ac:dyDescent="0.25"/>
  </sheetData>
  <mergeCells count="8">
    <mergeCell ref="G1:I1"/>
    <mergeCell ref="A3:I3"/>
    <mergeCell ref="A7:A8"/>
    <mergeCell ref="B7:B8"/>
    <mergeCell ref="C7:C8"/>
    <mergeCell ref="D7:I7"/>
    <mergeCell ref="A4:I4"/>
    <mergeCell ref="E6:I6"/>
  </mergeCells>
  <pageMargins left="0.7" right="0.6" top="0.7" bottom="0.6" header="0.3" footer="0.3"/>
  <pageSetup paperSize="9" scale="95" orientation="portrait" r:id="rId1"/>
  <headerFooter>
    <oddHeader>&amp;RBiểu số 10</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I142"/>
  <sheetViews>
    <sheetView workbookViewId="0">
      <pane xSplit="1" ySplit="12" topLeftCell="B13" activePane="bottomRight" state="frozen"/>
      <selection pane="topRight" activeCell="B1" sqref="B1"/>
      <selection pane="bottomLeft" activeCell="A12" sqref="A12"/>
      <selection pane="bottomRight" activeCell="A4" sqref="A4:AI4"/>
    </sheetView>
  </sheetViews>
  <sheetFormatPr defaultColWidth="6.7109375" defaultRowHeight="12.75" x14ac:dyDescent="0.25"/>
  <cols>
    <col min="1" max="1" width="4.140625" style="87" customWidth="1"/>
    <col min="2" max="2" width="26.7109375" style="81" customWidth="1"/>
    <col min="3" max="4" width="7.7109375" style="81" customWidth="1"/>
    <col min="5" max="5" width="7.42578125" style="81" customWidth="1"/>
    <col min="6" max="14" width="6.42578125" style="81" hidden="1" customWidth="1"/>
    <col min="15" max="15" width="7.28515625" style="81" customWidth="1"/>
    <col min="16" max="16" width="7.140625" style="81" customWidth="1"/>
    <col min="17" max="17" width="7" style="81" customWidth="1"/>
    <col min="18" max="18" width="7.28515625" style="81" customWidth="1"/>
    <col min="19" max="19" width="7.140625" style="81" customWidth="1"/>
    <col min="20" max="20" width="5.5703125" style="81" customWidth="1"/>
    <col min="21" max="21" width="6.28515625" style="81" customWidth="1"/>
    <col min="22" max="22" width="6.85546875" style="81" customWidth="1"/>
    <col min="23" max="30" width="6.42578125" style="81" hidden="1" customWidth="1"/>
    <col min="31" max="31" width="0.7109375" style="81" hidden="1" customWidth="1"/>
    <col min="32" max="32" width="6.42578125" style="81" customWidth="1"/>
    <col min="33" max="33" width="6.85546875" style="81" customWidth="1"/>
    <col min="34" max="34" width="5.85546875" style="81" customWidth="1"/>
    <col min="35" max="35" width="6.5703125" style="81" customWidth="1"/>
    <col min="36" max="38" width="6.7109375" style="81" customWidth="1"/>
    <col min="39" max="39" width="10" style="81" customWidth="1"/>
    <col min="40" max="53" width="6.7109375" style="81" customWidth="1"/>
    <col min="54" max="54" width="14.140625" style="81" customWidth="1"/>
    <col min="55" max="256" width="6.7109375" style="81"/>
    <col min="257" max="257" width="3.85546875" style="81" customWidth="1"/>
    <col min="258" max="258" width="23.42578125" style="81" customWidth="1"/>
    <col min="259" max="259" width="9.42578125" style="81" customWidth="1"/>
    <col min="260" max="261" width="7.42578125" style="81" customWidth="1"/>
    <col min="262" max="270" width="0" style="81" hidden="1" customWidth="1"/>
    <col min="271" max="277" width="6.42578125" style="81" customWidth="1"/>
    <col min="278" max="278" width="6.140625" style="81" customWidth="1"/>
    <col min="279" max="287" width="0" style="81" hidden="1" customWidth="1"/>
    <col min="288" max="290" width="6.42578125" style="81" customWidth="1"/>
    <col min="291" max="291" width="5.5703125" style="81" customWidth="1"/>
    <col min="292" max="309" width="6.7109375" style="81" customWidth="1"/>
    <col min="310" max="310" width="14.140625" style="81" customWidth="1"/>
    <col min="311" max="512" width="6.7109375" style="81"/>
    <col min="513" max="513" width="3.85546875" style="81" customWidth="1"/>
    <col min="514" max="514" width="23.42578125" style="81" customWidth="1"/>
    <col min="515" max="515" width="9.42578125" style="81" customWidth="1"/>
    <col min="516" max="517" width="7.42578125" style="81" customWidth="1"/>
    <col min="518" max="526" width="0" style="81" hidden="1" customWidth="1"/>
    <col min="527" max="533" width="6.42578125" style="81" customWidth="1"/>
    <col min="534" max="534" width="6.140625" style="81" customWidth="1"/>
    <col min="535" max="543" width="0" style="81" hidden="1" customWidth="1"/>
    <col min="544" max="546" width="6.42578125" style="81" customWidth="1"/>
    <col min="547" max="547" width="5.5703125" style="81" customWidth="1"/>
    <col min="548" max="565" width="6.7109375" style="81" customWidth="1"/>
    <col min="566" max="566" width="14.140625" style="81" customWidth="1"/>
    <col min="567" max="768" width="6.7109375" style="81"/>
    <col min="769" max="769" width="3.85546875" style="81" customWidth="1"/>
    <col min="770" max="770" width="23.42578125" style="81" customWidth="1"/>
    <col min="771" max="771" width="9.42578125" style="81" customWidth="1"/>
    <col min="772" max="773" width="7.42578125" style="81" customWidth="1"/>
    <col min="774" max="782" width="0" style="81" hidden="1" customWidth="1"/>
    <col min="783" max="789" width="6.42578125" style="81" customWidth="1"/>
    <col min="790" max="790" width="6.140625" style="81" customWidth="1"/>
    <col min="791" max="799" width="0" style="81" hidden="1" customWidth="1"/>
    <col min="800" max="802" width="6.42578125" style="81" customWidth="1"/>
    <col min="803" max="803" width="5.5703125" style="81" customWidth="1"/>
    <col min="804" max="821" width="6.7109375" style="81" customWidth="1"/>
    <col min="822" max="822" width="14.140625" style="81" customWidth="1"/>
    <col min="823" max="1024" width="6.7109375" style="81"/>
    <col min="1025" max="1025" width="3.85546875" style="81" customWidth="1"/>
    <col min="1026" max="1026" width="23.42578125" style="81" customWidth="1"/>
    <col min="1027" max="1027" width="9.42578125" style="81" customWidth="1"/>
    <col min="1028" max="1029" width="7.42578125" style="81" customWidth="1"/>
    <col min="1030" max="1038" width="0" style="81" hidden="1" customWidth="1"/>
    <col min="1039" max="1045" width="6.42578125" style="81" customWidth="1"/>
    <col min="1046" max="1046" width="6.140625" style="81" customWidth="1"/>
    <col min="1047" max="1055" width="0" style="81" hidden="1" customWidth="1"/>
    <col min="1056" max="1058" width="6.42578125" style="81" customWidth="1"/>
    <col min="1059" max="1059" width="5.5703125" style="81" customWidth="1"/>
    <col min="1060" max="1077" width="6.7109375" style="81" customWidth="1"/>
    <col min="1078" max="1078" width="14.140625" style="81" customWidth="1"/>
    <col min="1079" max="1280" width="6.7109375" style="81"/>
    <col min="1281" max="1281" width="3.85546875" style="81" customWidth="1"/>
    <col min="1282" max="1282" width="23.42578125" style="81" customWidth="1"/>
    <col min="1283" max="1283" width="9.42578125" style="81" customWidth="1"/>
    <col min="1284" max="1285" width="7.42578125" style="81" customWidth="1"/>
    <col min="1286" max="1294" width="0" style="81" hidden="1" customWidth="1"/>
    <col min="1295" max="1301" width="6.42578125" style="81" customWidth="1"/>
    <col min="1302" max="1302" width="6.140625" style="81" customWidth="1"/>
    <col min="1303" max="1311" width="0" style="81" hidden="1" customWidth="1"/>
    <col min="1312" max="1314" width="6.42578125" style="81" customWidth="1"/>
    <col min="1315" max="1315" width="5.5703125" style="81" customWidth="1"/>
    <col min="1316" max="1333" width="6.7109375" style="81" customWidth="1"/>
    <col min="1334" max="1334" width="14.140625" style="81" customWidth="1"/>
    <col min="1335" max="1536" width="6.7109375" style="81"/>
    <col min="1537" max="1537" width="3.85546875" style="81" customWidth="1"/>
    <col min="1538" max="1538" width="23.42578125" style="81" customWidth="1"/>
    <col min="1539" max="1539" width="9.42578125" style="81" customWidth="1"/>
    <col min="1540" max="1541" width="7.42578125" style="81" customWidth="1"/>
    <col min="1542" max="1550" width="0" style="81" hidden="1" customWidth="1"/>
    <col min="1551" max="1557" width="6.42578125" style="81" customWidth="1"/>
    <col min="1558" max="1558" width="6.140625" style="81" customWidth="1"/>
    <col min="1559" max="1567" width="0" style="81" hidden="1" customWidth="1"/>
    <col min="1568" max="1570" width="6.42578125" style="81" customWidth="1"/>
    <col min="1571" max="1571" width="5.5703125" style="81" customWidth="1"/>
    <col min="1572" max="1589" width="6.7109375" style="81" customWidth="1"/>
    <col min="1590" max="1590" width="14.140625" style="81" customWidth="1"/>
    <col min="1591" max="1792" width="6.7109375" style="81"/>
    <col min="1793" max="1793" width="3.85546875" style="81" customWidth="1"/>
    <col min="1794" max="1794" width="23.42578125" style="81" customWidth="1"/>
    <col min="1795" max="1795" width="9.42578125" style="81" customWidth="1"/>
    <col min="1796" max="1797" width="7.42578125" style="81" customWidth="1"/>
    <col min="1798" max="1806" width="0" style="81" hidden="1" customWidth="1"/>
    <col min="1807" max="1813" width="6.42578125" style="81" customWidth="1"/>
    <col min="1814" max="1814" width="6.140625" style="81" customWidth="1"/>
    <col min="1815" max="1823" width="0" style="81" hidden="1" customWidth="1"/>
    <col min="1824" max="1826" width="6.42578125" style="81" customWidth="1"/>
    <col min="1827" max="1827" width="5.5703125" style="81" customWidth="1"/>
    <col min="1828" max="1845" width="6.7109375" style="81" customWidth="1"/>
    <col min="1846" max="1846" width="14.140625" style="81" customWidth="1"/>
    <col min="1847" max="2048" width="6.7109375" style="81"/>
    <col min="2049" max="2049" width="3.85546875" style="81" customWidth="1"/>
    <col min="2050" max="2050" width="23.42578125" style="81" customWidth="1"/>
    <col min="2051" max="2051" width="9.42578125" style="81" customWidth="1"/>
    <col min="2052" max="2053" width="7.42578125" style="81" customWidth="1"/>
    <col min="2054" max="2062" width="0" style="81" hidden="1" customWidth="1"/>
    <col min="2063" max="2069" width="6.42578125" style="81" customWidth="1"/>
    <col min="2070" max="2070" width="6.140625" style="81" customWidth="1"/>
    <col min="2071" max="2079" width="0" style="81" hidden="1" customWidth="1"/>
    <col min="2080" max="2082" width="6.42578125" style="81" customWidth="1"/>
    <col min="2083" max="2083" width="5.5703125" style="81" customWidth="1"/>
    <col min="2084" max="2101" width="6.7109375" style="81" customWidth="1"/>
    <col min="2102" max="2102" width="14.140625" style="81" customWidth="1"/>
    <col min="2103" max="2304" width="6.7109375" style="81"/>
    <col min="2305" max="2305" width="3.85546875" style="81" customWidth="1"/>
    <col min="2306" max="2306" width="23.42578125" style="81" customWidth="1"/>
    <col min="2307" max="2307" width="9.42578125" style="81" customWidth="1"/>
    <col min="2308" max="2309" width="7.42578125" style="81" customWidth="1"/>
    <col min="2310" max="2318" width="0" style="81" hidden="1" customWidth="1"/>
    <col min="2319" max="2325" width="6.42578125" style="81" customWidth="1"/>
    <col min="2326" max="2326" width="6.140625" style="81" customWidth="1"/>
    <col min="2327" max="2335" width="0" style="81" hidden="1" customWidth="1"/>
    <col min="2336" max="2338" width="6.42578125" style="81" customWidth="1"/>
    <col min="2339" max="2339" width="5.5703125" style="81" customWidth="1"/>
    <col min="2340" max="2357" width="6.7109375" style="81" customWidth="1"/>
    <col min="2358" max="2358" width="14.140625" style="81" customWidth="1"/>
    <col min="2359" max="2560" width="6.7109375" style="81"/>
    <col min="2561" max="2561" width="3.85546875" style="81" customWidth="1"/>
    <col min="2562" max="2562" width="23.42578125" style="81" customWidth="1"/>
    <col min="2563" max="2563" width="9.42578125" style="81" customWidth="1"/>
    <col min="2564" max="2565" width="7.42578125" style="81" customWidth="1"/>
    <col min="2566" max="2574" width="0" style="81" hidden="1" customWidth="1"/>
    <col min="2575" max="2581" width="6.42578125" style="81" customWidth="1"/>
    <col min="2582" max="2582" width="6.140625" style="81" customWidth="1"/>
    <col min="2583" max="2591" width="0" style="81" hidden="1" customWidth="1"/>
    <col min="2592" max="2594" width="6.42578125" style="81" customWidth="1"/>
    <col min="2595" max="2595" width="5.5703125" style="81" customWidth="1"/>
    <col min="2596" max="2613" width="6.7109375" style="81" customWidth="1"/>
    <col min="2614" max="2614" width="14.140625" style="81" customWidth="1"/>
    <col min="2615" max="2816" width="6.7109375" style="81"/>
    <col min="2817" max="2817" width="3.85546875" style="81" customWidth="1"/>
    <col min="2818" max="2818" width="23.42578125" style="81" customWidth="1"/>
    <col min="2819" max="2819" width="9.42578125" style="81" customWidth="1"/>
    <col min="2820" max="2821" width="7.42578125" style="81" customWidth="1"/>
    <col min="2822" max="2830" width="0" style="81" hidden="1" customWidth="1"/>
    <col min="2831" max="2837" width="6.42578125" style="81" customWidth="1"/>
    <col min="2838" max="2838" width="6.140625" style="81" customWidth="1"/>
    <col min="2839" max="2847" width="0" style="81" hidden="1" customWidth="1"/>
    <col min="2848" max="2850" width="6.42578125" style="81" customWidth="1"/>
    <col min="2851" max="2851" width="5.5703125" style="81" customWidth="1"/>
    <col min="2852" max="2869" width="6.7109375" style="81" customWidth="1"/>
    <col min="2870" max="2870" width="14.140625" style="81" customWidth="1"/>
    <col min="2871" max="3072" width="6.7109375" style="81"/>
    <col min="3073" max="3073" width="3.85546875" style="81" customWidth="1"/>
    <col min="3074" max="3074" width="23.42578125" style="81" customWidth="1"/>
    <col min="3075" max="3075" width="9.42578125" style="81" customWidth="1"/>
    <col min="3076" max="3077" width="7.42578125" style="81" customWidth="1"/>
    <col min="3078" max="3086" width="0" style="81" hidden="1" customWidth="1"/>
    <col min="3087" max="3093" width="6.42578125" style="81" customWidth="1"/>
    <col min="3094" max="3094" width="6.140625" style="81" customWidth="1"/>
    <col min="3095" max="3103" width="0" style="81" hidden="1" customWidth="1"/>
    <col min="3104" max="3106" width="6.42578125" style="81" customWidth="1"/>
    <col min="3107" max="3107" width="5.5703125" style="81" customWidth="1"/>
    <col min="3108" max="3125" width="6.7109375" style="81" customWidth="1"/>
    <col min="3126" max="3126" width="14.140625" style="81" customWidth="1"/>
    <col min="3127" max="3328" width="6.7109375" style="81"/>
    <col min="3329" max="3329" width="3.85546875" style="81" customWidth="1"/>
    <col min="3330" max="3330" width="23.42578125" style="81" customWidth="1"/>
    <col min="3331" max="3331" width="9.42578125" style="81" customWidth="1"/>
    <col min="3332" max="3333" width="7.42578125" style="81" customWidth="1"/>
    <col min="3334" max="3342" width="0" style="81" hidden="1" customWidth="1"/>
    <col min="3343" max="3349" width="6.42578125" style="81" customWidth="1"/>
    <col min="3350" max="3350" width="6.140625" style="81" customWidth="1"/>
    <col min="3351" max="3359" width="0" style="81" hidden="1" customWidth="1"/>
    <col min="3360" max="3362" width="6.42578125" style="81" customWidth="1"/>
    <col min="3363" max="3363" width="5.5703125" style="81" customWidth="1"/>
    <col min="3364" max="3381" width="6.7109375" style="81" customWidth="1"/>
    <col min="3382" max="3382" width="14.140625" style="81" customWidth="1"/>
    <col min="3383" max="3584" width="6.7109375" style="81"/>
    <col min="3585" max="3585" width="3.85546875" style="81" customWidth="1"/>
    <col min="3586" max="3586" width="23.42578125" style="81" customWidth="1"/>
    <col min="3587" max="3587" width="9.42578125" style="81" customWidth="1"/>
    <col min="3588" max="3589" width="7.42578125" style="81" customWidth="1"/>
    <col min="3590" max="3598" width="0" style="81" hidden="1" customWidth="1"/>
    <col min="3599" max="3605" width="6.42578125" style="81" customWidth="1"/>
    <col min="3606" max="3606" width="6.140625" style="81" customWidth="1"/>
    <col min="3607" max="3615" width="0" style="81" hidden="1" customWidth="1"/>
    <col min="3616" max="3618" width="6.42578125" style="81" customWidth="1"/>
    <col min="3619" max="3619" width="5.5703125" style="81" customWidth="1"/>
    <col min="3620" max="3637" width="6.7109375" style="81" customWidth="1"/>
    <col min="3638" max="3638" width="14.140625" style="81" customWidth="1"/>
    <col min="3639" max="3840" width="6.7109375" style="81"/>
    <col min="3841" max="3841" width="3.85546875" style="81" customWidth="1"/>
    <col min="3842" max="3842" width="23.42578125" style="81" customWidth="1"/>
    <col min="3843" max="3843" width="9.42578125" style="81" customWidth="1"/>
    <col min="3844" max="3845" width="7.42578125" style="81" customWidth="1"/>
    <col min="3846" max="3854" width="0" style="81" hidden="1" customWidth="1"/>
    <col min="3855" max="3861" width="6.42578125" style="81" customWidth="1"/>
    <col min="3862" max="3862" width="6.140625" style="81" customWidth="1"/>
    <col min="3863" max="3871" width="0" style="81" hidden="1" customWidth="1"/>
    <col min="3872" max="3874" width="6.42578125" style="81" customWidth="1"/>
    <col min="3875" max="3875" width="5.5703125" style="81" customWidth="1"/>
    <col min="3876" max="3893" width="6.7109375" style="81" customWidth="1"/>
    <col min="3894" max="3894" width="14.140625" style="81" customWidth="1"/>
    <col min="3895" max="4096" width="6.7109375" style="81"/>
    <col min="4097" max="4097" width="3.85546875" style="81" customWidth="1"/>
    <col min="4098" max="4098" width="23.42578125" style="81" customWidth="1"/>
    <col min="4099" max="4099" width="9.42578125" style="81" customWidth="1"/>
    <col min="4100" max="4101" width="7.42578125" style="81" customWidth="1"/>
    <col min="4102" max="4110" width="0" style="81" hidden="1" customWidth="1"/>
    <col min="4111" max="4117" width="6.42578125" style="81" customWidth="1"/>
    <col min="4118" max="4118" width="6.140625" style="81" customWidth="1"/>
    <col min="4119" max="4127" width="0" style="81" hidden="1" customWidth="1"/>
    <col min="4128" max="4130" width="6.42578125" style="81" customWidth="1"/>
    <col min="4131" max="4131" width="5.5703125" style="81" customWidth="1"/>
    <col min="4132" max="4149" width="6.7109375" style="81" customWidth="1"/>
    <col min="4150" max="4150" width="14.140625" style="81" customWidth="1"/>
    <col min="4151" max="4352" width="6.7109375" style="81"/>
    <col min="4353" max="4353" width="3.85546875" style="81" customWidth="1"/>
    <col min="4354" max="4354" width="23.42578125" style="81" customWidth="1"/>
    <col min="4355" max="4355" width="9.42578125" style="81" customWidth="1"/>
    <col min="4356" max="4357" width="7.42578125" style="81" customWidth="1"/>
    <col min="4358" max="4366" width="0" style="81" hidden="1" customWidth="1"/>
    <col min="4367" max="4373" width="6.42578125" style="81" customWidth="1"/>
    <col min="4374" max="4374" width="6.140625" style="81" customWidth="1"/>
    <col min="4375" max="4383" width="0" style="81" hidden="1" customWidth="1"/>
    <col min="4384" max="4386" width="6.42578125" style="81" customWidth="1"/>
    <col min="4387" max="4387" width="5.5703125" style="81" customWidth="1"/>
    <col min="4388" max="4405" width="6.7109375" style="81" customWidth="1"/>
    <col min="4406" max="4406" width="14.140625" style="81" customWidth="1"/>
    <col min="4407" max="4608" width="6.7109375" style="81"/>
    <col min="4609" max="4609" width="3.85546875" style="81" customWidth="1"/>
    <col min="4610" max="4610" width="23.42578125" style="81" customWidth="1"/>
    <col min="4611" max="4611" width="9.42578125" style="81" customWidth="1"/>
    <col min="4612" max="4613" width="7.42578125" style="81" customWidth="1"/>
    <col min="4614" max="4622" width="0" style="81" hidden="1" customWidth="1"/>
    <col min="4623" max="4629" width="6.42578125" style="81" customWidth="1"/>
    <col min="4630" max="4630" width="6.140625" style="81" customWidth="1"/>
    <col min="4631" max="4639" width="0" style="81" hidden="1" customWidth="1"/>
    <col min="4640" max="4642" width="6.42578125" style="81" customWidth="1"/>
    <col min="4643" max="4643" width="5.5703125" style="81" customWidth="1"/>
    <col min="4644" max="4661" width="6.7109375" style="81" customWidth="1"/>
    <col min="4662" max="4662" width="14.140625" style="81" customWidth="1"/>
    <col min="4663" max="4864" width="6.7109375" style="81"/>
    <col min="4865" max="4865" width="3.85546875" style="81" customWidth="1"/>
    <col min="4866" max="4866" width="23.42578125" style="81" customWidth="1"/>
    <col min="4867" max="4867" width="9.42578125" style="81" customWidth="1"/>
    <col min="4868" max="4869" width="7.42578125" style="81" customWidth="1"/>
    <col min="4870" max="4878" width="0" style="81" hidden="1" customWidth="1"/>
    <col min="4879" max="4885" width="6.42578125" style="81" customWidth="1"/>
    <col min="4886" max="4886" width="6.140625" style="81" customWidth="1"/>
    <col min="4887" max="4895" width="0" style="81" hidden="1" customWidth="1"/>
    <col min="4896" max="4898" width="6.42578125" style="81" customWidth="1"/>
    <col min="4899" max="4899" width="5.5703125" style="81" customWidth="1"/>
    <col min="4900" max="4917" width="6.7109375" style="81" customWidth="1"/>
    <col min="4918" max="4918" width="14.140625" style="81" customWidth="1"/>
    <col min="4919" max="5120" width="6.7109375" style="81"/>
    <col min="5121" max="5121" width="3.85546875" style="81" customWidth="1"/>
    <col min="5122" max="5122" width="23.42578125" style="81" customWidth="1"/>
    <col min="5123" max="5123" width="9.42578125" style="81" customWidth="1"/>
    <col min="5124" max="5125" width="7.42578125" style="81" customWidth="1"/>
    <col min="5126" max="5134" width="0" style="81" hidden="1" customWidth="1"/>
    <col min="5135" max="5141" width="6.42578125" style="81" customWidth="1"/>
    <col min="5142" max="5142" width="6.140625" style="81" customWidth="1"/>
    <col min="5143" max="5151" width="0" style="81" hidden="1" customWidth="1"/>
    <col min="5152" max="5154" width="6.42578125" style="81" customWidth="1"/>
    <col min="5155" max="5155" width="5.5703125" style="81" customWidth="1"/>
    <col min="5156" max="5173" width="6.7109375" style="81" customWidth="1"/>
    <col min="5174" max="5174" width="14.140625" style="81" customWidth="1"/>
    <col min="5175" max="5376" width="6.7109375" style="81"/>
    <col min="5377" max="5377" width="3.85546875" style="81" customWidth="1"/>
    <col min="5378" max="5378" width="23.42578125" style="81" customWidth="1"/>
    <col min="5379" max="5379" width="9.42578125" style="81" customWidth="1"/>
    <col min="5380" max="5381" width="7.42578125" style="81" customWidth="1"/>
    <col min="5382" max="5390" width="0" style="81" hidden="1" customWidth="1"/>
    <col min="5391" max="5397" width="6.42578125" style="81" customWidth="1"/>
    <col min="5398" max="5398" width="6.140625" style="81" customWidth="1"/>
    <col min="5399" max="5407" width="0" style="81" hidden="1" customWidth="1"/>
    <col min="5408" max="5410" width="6.42578125" style="81" customWidth="1"/>
    <col min="5411" max="5411" width="5.5703125" style="81" customWidth="1"/>
    <col min="5412" max="5429" width="6.7109375" style="81" customWidth="1"/>
    <col min="5430" max="5430" width="14.140625" style="81" customWidth="1"/>
    <col min="5431" max="5632" width="6.7109375" style="81"/>
    <col min="5633" max="5633" width="3.85546875" style="81" customWidth="1"/>
    <col min="5634" max="5634" width="23.42578125" style="81" customWidth="1"/>
    <col min="5635" max="5635" width="9.42578125" style="81" customWidth="1"/>
    <col min="5636" max="5637" width="7.42578125" style="81" customWidth="1"/>
    <col min="5638" max="5646" width="0" style="81" hidden="1" customWidth="1"/>
    <col min="5647" max="5653" width="6.42578125" style="81" customWidth="1"/>
    <col min="5654" max="5654" width="6.140625" style="81" customWidth="1"/>
    <col min="5655" max="5663" width="0" style="81" hidden="1" customWidth="1"/>
    <col min="5664" max="5666" width="6.42578125" style="81" customWidth="1"/>
    <col min="5667" max="5667" width="5.5703125" style="81" customWidth="1"/>
    <col min="5668" max="5685" width="6.7109375" style="81" customWidth="1"/>
    <col min="5686" max="5686" width="14.140625" style="81" customWidth="1"/>
    <col min="5687" max="5888" width="6.7109375" style="81"/>
    <col min="5889" max="5889" width="3.85546875" style="81" customWidth="1"/>
    <col min="5890" max="5890" width="23.42578125" style="81" customWidth="1"/>
    <col min="5891" max="5891" width="9.42578125" style="81" customWidth="1"/>
    <col min="5892" max="5893" width="7.42578125" style="81" customWidth="1"/>
    <col min="5894" max="5902" width="0" style="81" hidden="1" customWidth="1"/>
    <col min="5903" max="5909" width="6.42578125" style="81" customWidth="1"/>
    <col min="5910" max="5910" width="6.140625" style="81" customWidth="1"/>
    <col min="5911" max="5919" width="0" style="81" hidden="1" customWidth="1"/>
    <col min="5920" max="5922" width="6.42578125" style="81" customWidth="1"/>
    <col min="5923" max="5923" width="5.5703125" style="81" customWidth="1"/>
    <col min="5924" max="5941" width="6.7109375" style="81" customWidth="1"/>
    <col min="5942" max="5942" width="14.140625" style="81" customWidth="1"/>
    <col min="5943" max="6144" width="6.7109375" style="81"/>
    <col min="6145" max="6145" width="3.85546875" style="81" customWidth="1"/>
    <col min="6146" max="6146" width="23.42578125" style="81" customWidth="1"/>
    <col min="6147" max="6147" width="9.42578125" style="81" customWidth="1"/>
    <col min="6148" max="6149" width="7.42578125" style="81" customWidth="1"/>
    <col min="6150" max="6158" width="0" style="81" hidden="1" customWidth="1"/>
    <col min="6159" max="6165" width="6.42578125" style="81" customWidth="1"/>
    <col min="6166" max="6166" width="6.140625" style="81" customWidth="1"/>
    <col min="6167" max="6175" width="0" style="81" hidden="1" customWidth="1"/>
    <col min="6176" max="6178" width="6.42578125" style="81" customWidth="1"/>
    <col min="6179" max="6179" width="5.5703125" style="81" customWidth="1"/>
    <col min="6180" max="6197" width="6.7109375" style="81" customWidth="1"/>
    <col min="6198" max="6198" width="14.140625" style="81" customWidth="1"/>
    <col min="6199" max="6400" width="6.7109375" style="81"/>
    <col min="6401" max="6401" width="3.85546875" style="81" customWidth="1"/>
    <col min="6402" max="6402" width="23.42578125" style="81" customWidth="1"/>
    <col min="6403" max="6403" width="9.42578125" style="81" customWidth="1"/>
    <col min="6404" max="6405" width="7.42578125" style="81" customWidth="1"/>
    <col min="6406" max="6414" width="0" style="81" hidden="1" customWidth="1"/>
    <col min="6415" max="6421" width="6.42578125" style="81" customWidth="1"/>
    <col min="6422" max="6422" width="6.140625" style="81" customWidth="1"/>
    <col min="6423" max="6431" width="0" style="81" hidden="1" customWidth="1"/>
    <col min="6432" max="6434" width="6.42578125" style="81" customWidth="1"/>
    <col min="6435" max="6435" width="5.5703125" style="81" customWidth="1"/>
    <col min="6436" max="6453" width="6.7109375" style="81" customWidth="1"/>
    <col min="6454" max="6454" width="14.140625" style="81" customWidth="1"/>
    <col min="6455" max="6656" width="6.7109375" style="81"/>
    <col min="6657" max="6657" width="3.85546875" style="81" customWidth="1"/>
    <col min="6658" max="6658" width="23.42578125" style="81" customWidth="1"/>
    <col min="6659" max="6659" width="9.42578125" style="81" customWidth="1"/>
    <col min="6660" max="6661" width="7.42578125" style="81" customWidth="1"/>
    <col min="6662" max="6670" width="0" style="81" hidden="1" customWidth="1"/>
    <col min="6671" max="6677" width="6.42578125" style="81" customWidth="1"/>
    <col min="6678" max="6678" width="6.140625" style="81" customWidth="1"/>
    <col min="6679" max="6687" width="0" style="81" hidden="1" customWidth="1"/>
    <col min="6688" max="6690" width="6.42578125" style="81" customWidth="1"/>
    <col min="6691" max="6691" width="5.5703125" style="81" customWidth="1"/>
    <col min="6692" max="6709" width="6.7109375" style="81" customWidth="1"/>
    <col min="6710" max="6710" width="14.140625" style="81" customWidth="1"/>
    <col min="6711" max="6912" width="6.7109375" style="81"/>
    <col min="6913" max="6913" width="3.85546875" style="81" customWidth="1"/>
    <col min="6914" max="6914" width="23.42578125" style="81" customWidth="1"/>
    <col min="6915" max="6915" width="9.42578125" style="81" customWidth="1"/>
    <col min="6916" max="6917" width="7.42578125" style="81" customWidth="1"/>
    <col min="6918" max="6926" width="0" style="81" hidden="1" customWidth="1"/>
    <col min="6927" max="6933" width="6.42578125" style="81" customWidth="1"/>
    <col min="6934" max="6934" width="6.140625" style="81" customWidth="1"/>
    <col min="6935" max="6943" width="0" style="81" hidden="1" customWidth="1"/>
    <col min="6944" max="6946" width="6.42578125" style="81" customWidth="1"/>
    <col min="6947" max="6947" width="5.5703125" style="81" customWidth="1"/>
    <col min="6948" max="6965" width="6.7109375" style="81" customWidth="1"/>
    <col min="6966" max="6966" width="14.140625" style="81" customWidth="1"/>
    <col min="6967" max="7168" width="6.7109375" style="81"/>
    <col min="7169" max="7169" width="3.85546875" style="81" customWidth="1"/>
    <col min="7170" max="7170" width="23.42578125" style="81" customWidth="1"/>
    <col min="7171" max="7171" width="9.42578125" style="81" customWidth="1"/>
    <col min="7172" max="7173" width="7.42578125" style="81" customWidth="1"/>
    <col min="7174" max="7182" width="0" style="81" hidden="1" customWidth="1"/>
    <col min="7183" max="7189" width="6.42578125" style="81" customWidth="1"/>
    <col min="7190" max="7190" width="6.140625" style="81" customWidth="1"/>
    <col min="7191" max="7199" width="0" style="81" hidden="1" customWidth="1"/>
    <col min="7200" max="7202" width="6.42578125" style="81" customWidth="1"/>
    <col min="7203" max="7203" width="5.5703125" style="81" customWidth="1"/>
    <col min="7204" max="7221" width="6.7109375" style="81" customWidth="1"/>
    <col min="7222" max="7222" width="14.140625" style="81" customWidth="1"/>
    <col min="7223" max="7424" width="6.7109375" style="81"/>
    <col min="7425" max="7425" width="3.85546875" style="81" customWidth="1"/>
    <col min="7426" max="7426" width="23.42578125" style="81" customWidth="1"/>
    <col min="7427" max="7427" width="9.42578125" style="81" customWidth="1"/>
    <col min="7428" max="7429" width="7.42578125" style="81" customWidth="1"/>
    <col min="7430" max="7438" width="0" style="81" hidden="1" customWidth="1"/>
    <col min="7439" max="7445" width="6.42578125" style="81" customWidth="1"/>
    <col min="7446" max="7446" width="6.140625" style="81" customWidth="1"/>
    <col min="7447" max="7455" width="0" style="81" hidden="1" customWidth="1"/>
    <col min="7456" max="7458" width="6.42578125" style="81" customWidth="1"/>
    <col min="7459" max="7459" width="5.5703125" style="81" customWidth="1"/>
    <col min="7460" max="7477" width="6.7109375" style="81" customWidth="1"/>
    <col min="7478" max="7478" width="14.140625" style="81" customWidth="1"/>
    <col min="7479" max="7680" width="6.7109375" style="81"/>
    <col min="7681" max="7681" width="3.85546875" style="81" customWidth="1"/>
    <col min="7682" max="7682" width="23.42578125" style="81" customWidth="1"/>
    <col min="7683" max="7683" width="9.42578125" style="81" customWidth="1"/>
    <col min="7684" max="7685" width="7.42578125" style="81" customWidth="1"/>
    <col min="7686" max="7694" width="0" style="81" hidden="1" customWidth="1"/>
    <col min="7695" max="7701" width="6.42578125" style="81" customWidth="1"/>
    <col min="7702" max="7702" width="6.140625" style="81" customWidth="1"/>
    <col min="7703" max="7711" width="0" style="81" hidden="1" customWidth="1"/>
    <col min="7712" max="7714" width="6.42578125" style="81" customWidth="1"/>
    <col min="7715" max="7715" width="5.5703125" style="81" customWidth="1"/>
    <col min="7716" max="7733" width="6.7109375" style="81" customWidth="1"/>
    <col min="7734" max="7734" width="14.140625" style="81" customWidth="1"/>
    <col min="7735" max="7936" width="6.7109375" style="81"/>
    <col min="7937" max="7937" width="3.85546875" style="81" customWidth="1"/>
    <col min="7938" max="7938" width="23.42578125" style="81" customWidth="1"/>
    <col min="7939" max="7939" width="9.42578125" style="81" customWidth="1"/>
    <col min="7940" max="7941" width="7.42578125" style="81" customWidth="1"/>
    <col min="7942" max="7950" width="0" style="81" hidden="1" customWidth="1"/>
    <col min="7951" max="7957" width="6.42578125" style="81" customWidth="1"/>
    <col min="7958" max="7958" width="6.140625" style="81" customWidth="1"/>
    <col min="7959" max="7967" width="0" style="81" hidden="1" customWidth="1"/>
    <col min="7968" max="7970" width="6.42578125" style="81" customWidth="1"/>
    <col min="7971" max="7971" width="5.5703125" style="81" customWidth="1"/>
    <col min="7972" max="7989" width="6.7109375" style="81" customWidth="1"/>
    <col min="7990" max="7990" width="14.140625" style="81" customWidth="1"/>
    <col min="7991" max="8192" width="6.7109375" style="81"/>
    <col min="8193" max="8193" width="3.85546875" style="81" customWidth="1"/>
    <col min="8194" max="8194" width="23.42578125" style="81" customWidth="1"/>
    <col min="8195" max="8195" width="9.42578125" style="81" customWidth="1"/>
    <col min="8196" max="8197" width="7.42578125" style="81" customWidth="1"/>
    <col min="8198" max="8206" width="0" style="81" hidden="1" customWidth="1"/>
    <col min="8207" max="8213" width="6.42578125" style="81" customWidth="1"/>
    <col min="8214" max="8214" width="6.140625" style="81" customWidth="1"/>
    <col min="8215" max="8223" width="0" style="81" hidden="1" customWidth="1"/>
    <col min="8224" max="8226" width="6.42578125" style="81" customWidth="1"/>
    <col min="8227" max="8227" width="5.5703125" style="81" customWidth="1"/>
    <col min="8228" max="8245" width="6.7109375" style="81" customWidth="1"/>
    <col min="8246" max="8246" width="14.140625" style="81" customWidth="1"/>
    <col min="8247" max="8448" width="6.7109375" style="81"/>
    <col min="8449" max="8449" width="3.85546875" style="81" customWidth="1"/>
    <col min="8450" max="8450" width="23.42578125" style="81" customWidth="1"/>
    <col min="8451" max="8451" width="9.42578125" style="81" customWidth="1"/>
    <col min="8452" max="8453" width="7.42578125" style="81" customWidth="1"/>
    <col min="8454" max="8462" width="0" style="81" hidden="1" customWidth="1"/>
    <col min="8463" max="8469" width="6.42578125" style="81" customWidth="1"/>
    <col min="8470" max="8470" width="6.140625" style="81" customWidth="1"/>
    <col min="8471" max="8479" width="0" style="81" hidden="1" customWidth="1"/>
    <col min="8480" max="8482" width="6.42578125" style="81" customWidth="1"/>
    <col min="8483" max="8483" width="5.5703125" style="81" customWidth="1"/>
    <col min="8484" max="8501" width="6.7109375" style="81" customWidth="1"/>
    <col min="8502" max="8502" width="14.140625" style="81" customWidth="1"/>
    <col min="8503" max="8704" width="6.7109375" style="81"/>
    <col min="8705" max="8705" width="3.85546875" style="81" customWidth="1"/>
    <col min="8706" max="8706" width="23.42578125" style="81" customWidth="1"/>
    <col min="8707" max="8707" width="9.42578125" style="81" customWidth="1"/>
    <col min="8708" max="8709" width="7.42578125" style="81" customWidth="1"/>
    <col min="8710" max="8718" width="0" style="81" hidden="1" customWidth="1"/>
    <col min="8719" max="8725" width="6.42578125" style="81" customWidth="1"/>
    <col min="8726" max="8726" width="6.140625" style="81" customWidth="1"/>
    <col min="8727" max="8735" width="0" style="81" hidden="1" customWidth="1"/>
    <col min="8736" max="8738" width="6.42578125" style="81" customWidth="1"/>
    <col min="8739" max="8739" width="5.5703125" style="81" customWidth="1"/>
    <col min="8740" max="8757" width="6.7109375" style="81" customWidth="1"/>
    <col min="8758" max="8758" width="14.140625" style="81" customWidth="1"/>
    <col min="8759" max="8960" width="6.7109375" style="81"/>
    <col min="8961" max="8961" width="3.85546875" style="81" customWidth="1"/>
    <col min="8962" max="8962" width="23.42578125" style="81" customWidth="1"/>
    <col min="8963" max="8963" width="9.42578125" style="81" customWidth="1"/>
    <col min="8964" max="8965" width="7.42578125" style="81" customWidth="1"/>
    <col min="8966" max="8974" width="0" style="81" hidden="1" customWidth="1"/>
    <col min="8975" max="8981" width="6.42578125" style="81" customWidth="1"/>
    <col min="8982" max="8982" width="6.140625" style="81" customWidth="1"/>
    <col min="8983" max="8991" width="0" style="81" hidden="1" customWidth="1"/>
    <col min="8992" max="8994" width="6.42578125" style="81" customWidth="1"/>
    <col min="8995" max="8995" width="5.5703125" style="81" customWidth="1"/>
    <col min="8996" max="9013" width="6.7109375" style="81" customWidth="1"/>
    <col min="9014" max="9014" width="14.140625" style="81" customWidth="1"/>
    <col min="9015" max="9216" width="6.7109375" style="81"/>
    <col min="9217" max="9217" width="3.85546875" style="81" customWidth="1"/>
    <col min="9218" max="9218" width="23.42578125" style="81" customWidth="1"/>
    <col min="9219" max="9219" width="9.42578125" style="81" customWidth="1"/>
    <col min="9220" max="9221" width="7.42578125" style="81" customWidth="1"/>
    <col min="9222" max="9230" width="0" style="81" hidden="1" customWidth="1"/>
    <col min="9231" max="9237" width="6.42578125" style="81" customWidth="1"/>
    <col min="9238" max="9238" width="6.140625" style="81" customWidth="1"/>
    <col min="9239" max="9247" width="0" style="81" hidden="1" customWidth="1"/>
    <col min="9248" max="9250" width="6.42578125" style="81" customWidth="1"/>
    <col min="9251" max="9251" width="5.5703125" style="81" customWidth="1"/>
    <col min="9252" max="9269" width="6.7109375" style="81" customWidth="1"/>
    <col min="9270" max="9270" width="14.140625" style="81" customWidth="1"/>
    <col min="9271" max="9472" width="6.7109375" style="81"/>
    <col min="9473" max="9473" width="3.85546875" style="81" customWidth="1"/>
    <col min="9474" max="9474" width="23.42578125" style="81" customWidth="1"/>
    <col min="9475" max="9475" width="9.42578125" style="81" customWidth="1"/>
    <col min="9476" max="9477" width="7.42578125" style="81" customWidth="1"/>
    <col min="9478" max="9486" width="0" style="81" hidden="1" customWidth="1"/>
    <col min="9487" max="9493" width="6.42578125" style="81" customWidth="1"/>
    <col min="9494" max="9494" width="6.140625" style="81" customWidth="1"/>
    <col min="9495" max="9503" width="0" style="81" hidden="1" customWidth="1"/>
    <col min="9504" max="9506" width="6.42578125" style="81" customWidth="1"/>
    <col min="9507" max="9507" width="5.5703125" style="81" customWidth="1"/>
    <col min="9508" max="9525" width="6.7109375" style="81" customWidth="1"/>
    <col min="9526" max="9526" width="14.140625" style="81" customWidth="1"/>
    <col min="9527" max="9728" width="6.7109375" style="81"/>
    <col min="9729" max="9729" width="3.85546875" style="81" customWidth="1"/>
    <col min="9730" max="9730" width="23.42578125" style="81" customWidth="1"/>
    <col min="9731" max="9731" width="9.42578125" style="81" customWidth="1"/>
    <col min="9732" max="9733" width="7.42578125" style="81" customWidth="1"/>
    <col min="9734" max="9742" width="0" style="81" hidden="1" customWidth="1"/>
    <col min="9743" max="9749" width="6.42578125" style="81" customWidth="1"/>
    <col min="9750" max="9750" width="6.140625" style="81" customWidth="1"/>
    <col min="9751" max="9759" width="0" style="81" hidden="1" customWidth="1"/>
    <col min="9760" max="9762" width="6.42578125" style="81" customWidth="1"/>
    <col min="9763" max="9763" width="5.5703125" style="81" customWidth="1"/>
    <col min="9764" max="9781" width="6.7109375" style="81" customWidth="1"/>
    <col min="9782" max="9782" width="14.140625" style="81" customWidth="1"/>
    <col min="9783" max="9984" width="6.7109375" style="81"/>
    <col min="9985" max="9985" width="3.85546875" style="81" customWidth="1"/>
    <col min="9986" max="9986" width="23.42578125" style="81" customWidth="1"/>
    <col min="9987" max="9987" width="9.42578125" style="81" customWidth="1"/>
    <col min="9988" max="9989" width="7.42578125" style="81" customWidth="1"/>
    <col min="9990" max="9998" width="0" style="81" hidden="1" customWidth="1"/>
    <col min="9999" max="10005" width="6.42578125" style="81" customWidth="1"/>
    <col min="10006" max="10006" width="6.140625" style="81" customWidth="1"/>
    <col min="10007" max="10015" width="0" style="81" hidden="1" customWidth="1"/>
    <col min="10016" max="10018" width="6.42578125" style="81" customWidth="1"/>
    <col min="10019" max="10019" width="5.5703125" style="81" customWidth="1"/>
    <col min="10020" max="10037" width="6.7109375" style="81" customWidth="1"/>
    <col min="10038" max="10038" width="14.140625" style="81" customWidth="1"/>
    <col min="10039" max="10240" width="6.7109375" style="81"/>
    <col min="10241" max="10241" width="3.85546875" style="81" customWidth="1"/>
    <col min="10242" max="10242" width="23.42578125" style="81" customWidth="1"/>
    <col min="10243" max="10243" width="9.42578125" style="81" customWidth="1"/>
    <col min="10244" max="10245" width="7.42578125" style="81" customWidth="1"/>
    <col min="10246" max="10254" width="0" style="81" hidden="1" customWidth="1"/>
    <col min="10255" max="10261" width="6.42578125" style="81" customWidth="1"/>
    <col min="10262" max="10262" width="6.140625" style="81" customWidth="1"/>
    <col min="10263" max="10271" width="0" style="81" hidden="1" customWidth="1"/>
    <col min="10272" max="10274" width="6.42578125" style="81" customWidth="1"/>
    <col min="10275" max="10275" width="5.5703125" style="81" customWidth="1"/>
    <col min="10276" max="10293" width="6.7109375" style="81" customWidth="1"/>
    <col min="10294" max="10294" width="14.140625" style="81" customWidth="1"/>
    <col min="10295" max="10496" width="6.7109375" style="81"/>
    <col min="10497" max="10497" width="3.85546875" style="81" customWidth="1"/>
    <col min="10498" max="10498" width="23.42578125" style="81" customWidth="1"/>
    <col min="10499" max="10499" width="9.42578125" style="81" customWidth="1"/>
    <col min="10500" max="10501" width="7.42578125" style="81" customWidth="1"/>
    <col min="10502" max="10510" width="0" style="81" hidden="1" customWidth="1"/>
    <col min="10511" max="10517" width="6.42578125" style="81" customWidth="1"/>
    <col min="10518" max="10518" width="6.140625" style="81" customWidth="1"/>
    <col min="10519" max="10527" width="0" style="81" hidden="1" customWidth="1"/>
    <col min="10528" max="10530" width="6.42578125" style="81" customWidth="1"/>
    <col min="10531" max="10531" width="5.5703125" style="81" customWidth="1"/>
    <col min="10532" max="10549" width="6.7109375" style="81" customWidth="1"/>
    <col min="10550" max="10550" width="14.140625" style="81" customWidth="1"/>
    <col min="10551" max="10752" width="6.7109375" style="81"/>
    <col min="10753" max="10753" width="3.85546875" style="81" customWidth="1"/>
    <col min="10754" max="10754" width="23.42578125" style="81" customWidth="1"/>
    <col min="10755" max="10755" width="9.42578125" style="81" customWidth="1"/>
    <col min="10756" max="10757" width="7.42578125" style="81" customWidth="1"/>
    <col min="10758" max="10766" width="0" style="81" hidden="1" customWidth="1"/>
    <col min="10767" max="10773" width="6.42578125" style="81" customWidth="1"/>
    <col min="10774" max="10774" width="6.140625" style="81" customWidth="1"/>
    <col min="10775" max="10783" width="0" style="81" hidden="1" customWidth="1"/>
    <col min="10784" max="10786" width="6.42578125" style="81" customWidth="1"/>
    <col min="10787" max="10787" width="5.5703125" style="81" customWidth="1"/>
    <col min="10788" max="10805" width="6.7109375" style="81" customWidth="1"/>
    <col min="10806" max="10806" width="14.140625" style="81" customWidth="1"/>
    <col min="10807" max="11008" width="6.7109375" style="81"/>
    <col min="11009" max="11009" width="3.85546875" style="81" customWidth="1"/>
    <col min="11010" max="11010" width="23.42578125" style="81" customWidth="1"/>
    <col min="11011" max="11011" width="9.42578125" style="81" customWidth="1"/>
    <col min="11012" max="11013" width="7.42578125" style="81" customWidth="1"/>
    <col min="11014" max="11022" width="0" style="81" hidden="1" customWidth="1"/>
    <col min="11023" max="11029" width="6.42578125" style="81" customWidth="1"/>
    <col min="11030" max="11030" width="6.140625" style="81" customWidth="1"/>
    <col min="11031" max="11039" width="0" style="81" hidden="1" customWidth="1"/>
    <col min="11040" max="11042" width="6.42578125" style="81" customWidth="1"/>
    <col min="11043" max="11043" width="5.5703125" style="81" customWidth="1"/>
    <col min="11044" max="11061" width="6.7109375" style="81" customWidth="1"/>
    <col min="11062" max="11062" width="14.140625" style="81" customWidth="1"/>
    <col min="11063" max="11264" width="6.7109375" style="81"/>
    <col min="11265" max="11265" width="3.85546875" style="81" customWidth="1"/>
    <col min="11266" max="11266" width="23.42578125" style="81" customWidth="1"/>
    <col min="11267" max="11267" width="9.42578125" style="81" customWidth="1"/>
    <col min="11268" max="11269" width="7.42578125" style="81" customWidth="1"/>
    <col min="11270" max="11278" width="0" style="81" hidden="1" customWidth="1"/>
    <col min="11279" max="11285" width="6.42578125" style="81" customWidth="1"/>
    <col min="11286" max="11286" width="6.140625" style="81" customWidth="1"/>
    <col min="11287" max="11295" width="0" style="81" hidden="1" customWidth="1"/>
    <col min="11296" max="11298" width="6.42578125" style="81" customWidth="1"/>
    <col min="11299" max="11299" width="5.5703125" style="81" customWidth="1"/>
    <col min="11300" max="11317" width="6.7109375" style="81" customWidth="1"/>
    <col min="11318" max="11318" width="14.140625" style="81" customWidth="1"/>
    <col min="11319" max="11520" width="6.7109375" style="81"/>
    <col min="11521" max="11521" width="3.85546875" style="81" customWidth="1"/>
    <col min="11522" max="11522" width="23.42578125" style="81" customWidth="1"/>
    <col min="11523" max="11523" width="9.42578125" style="81" customWidth="1"/>
    <col min="11524" max="11525" width="7.42578125" style="81" customWidth="1"/>
    <col min="11526" max="11534" width="0" style="81" hidden="1" customWidth="1"/>
    <col min="11535" max="11541" width="6.42578125" style="81" customWidth="1"/>
    <col min="11542" max="11542" width="6.140625" style="81" customWidth="1"/>
    <col min="11543" max="11551" width="0" style="81" hidden="1" customWidth="1"/>
    <col min="11552" max="11554" width="6.42578125" style="81" customWidth="1"/>
    <col min="11555" max="11555" width="5.5703125" style="81" customWidth="1"/>
    <col min="11556" max="11573" width="6.7109375" style="81" customWidth="1"/>
    <col min="11574" max="11574" width="14.140625" style="81" customWidth="1"/>
    <col min="11575" max="11776" width="6.7109375" style="81"/>
    <col min="11777" max="11777" width="3.85546875" style="81" customWidth="1"/>
    <col min="11778" max="11778" width="23.42578125" style="81" customWidth="1"/>
    <col min="11779" max="11779" width="9.42578125" style="81" customWidth="1"/>
    <col min="11780" max="11781" width="7.42578125" style="81" customWidth="1"/>
    <col min="11782" max="11790" width="0" style="81" hidden="1" customWidth="1"/>
    <col min="11791" max="11797" width="6.42578125" style="81" customWidth="1"/>
    <col min="11798" max="11798" width="6.140625" style="81" customWidth="1"/>
    <col min="11799" max="11807" width="0" style="81" hidden="1" customWidth="1"/>
    <col min="11808" max="11810" width="6.42578125" style="81" customWidth="1"/>
    <col min="11811" max="11811" width="5.5703125" style="81" customWidth="1"/>
    <col min="11812" max="11829" width="6.7109375" style="81" customWidth="1"/>
    <col min="11830" max="11830" width="14.140625" style="81" customWidth="1"/>
    <col min="11831" max="12032" width="6.7109375" style="81"/>
    <col min="12033" max="12033" width="3.85546875" style="81" customWidth="1"/>
    <col min="12034" max="12034" width="23.42578125" style="81" customWidth="1"/>
    <col min="12035" max="12035" width="9.42578125" style="81" customWidth="1"/>
    <col min="12036" max="12037" width="7.42578125" style="81" customWidth="1"/>
    <col min="12038" max="12046" width="0" style="81" hidden="1" customWidth="1"/>
    <col min="12047" max="12053" width="6.42578125" style="81" customWidth="1"/>
    <col min="12054" max="12054" width="6.140625" style="81" customWidth="1"/>
    <col min="12055" max="12063" width="0" style="81" hidden="1" customWidth="1"/>
    <col min="12064" max="12066" width="6.42578125" style="81" customWidth="1"/>
    <col min="12067" max="12067" width="5.5703125" style="81" customWidth="1"/>
    <col min="12068" max="12085" width="6.7109375" style="81" customWidth="1"/>
    <col min="12086" max="12086" width="14.140625" style="81" customWidth="1"/>
    <col min="12087" max="12288" width="6.7109375" style="81"/>
    <col min="12289" max="12289" width="3.85546875" style="81" customWidth="1"/>
    <col min="12290" max="12290" width="23.42578125" style="81" customWidth="1"/>
    <col min="12291" max="12291" width="9.42578125" style="81" customWidth="1"/>
    <col min="12292" max="12293" width="7.42578125" style="81" customWidth="1"/>
    <col min="12294" max="12302" width="0" style="81" hidden="1" customWidth="1"/>
    <col min="12303" max="12309" width="6.42578125" style="81" customWidth="1"/>
    <col min="12310" max="12310" width="6.140625" style="81" customWidth="1"/>
    <col min="12311" max="12319" width="0" style="81" hidden="1" customWidth="1"/>
    <col min="12320" max="12322" width="6.42578125" style="81" customWidth="1"/>
    <col min="12323" max="12323" width="5.5703125" style="81" customWidth="1"/>
    <col min="12324" max="12341" width="6.7109375" style="81" customWidth="1"/>
    <col min="12342" max="12342" width="14.140625" style="81" customWidth="1"/>
    <col min="12343" max="12544" width="6.7109375" style="81"/>
    <col min="12545" max="12545" width="3.85546875" style="81" customWidth="1"/>
    <col min="12546" max="12546" width="23.42578125" style="81" customWidth="1"/>
    <col min="12547" max="12547" width="9.42578125" style="81" customWidth="1"/>
    <col min="12548" max="12549" width="7.42578125" style="81" customWidth="1"/>
    <col min="12550" max="12558" width="0" style="81" hidden="1" customWidth="1"/>
    <col min="12559" max="12565" width="6.42578125" style="81" customWidth="1"/>
    <col min="12566" max="12566" width="6.140625" style="81" customWidth="1"/>
    <col min="12567" max="12575" width="0" style="81" hidden="1" customWidth="1"/>
    <col min="12576" max="12578" width="6.42578125" style="81" customWidth="1"/>
    <col min="12579" max="12579" width="5.5703125" style="81" customWidth="1"/>
    <col min="12580" max="12597" width="6.7109375" style="81" customWidth="1"/>
    <col min="12598" max="12598" width="14.140625" style="81" customWidth="1"/>
    <col min="12599" max="12800" width="6.7109375" style="81"/>
    <col min="12801" max="12801" width="3.85546875" style="81" customWidth="1"/>
    <col min="12802" max="12802" width="23.42578125" style="81" customWidth="1"/>
    <col min="12803" max="12803" width="9.42578125" style="81" customWidth="1"/>
    <col min="12804" max="12805" width="7.42578125" style="81" customWidth="1"/>
    <col min="12806" max="12814" width="0" style="81" hidden="1" customWidth="1"/>
    <col min="12815" max="12821" width="6.42578125" style="81" customWidth="1"/>
    <col min="12822" max="12822" width="6.140625" style="81" customWidth="1"/>
    <col min="12823" max="12831" width="0" style="81" hidden="1" customWidth="1"/>
    <col min="12832" max="12834" width="6.42578125" style="81" customWidth="1"/>
    <col min="12835" max="12835" width="5.5703125" style="81" customWidth="1"/>
    <col min="12836" max="12853" width="6.7109375" style="81" customWidth="1"/>
    <col min="12854" max="12854" width="14.140625" style="81" customWidth="1"/>
    <col min="12855" max="13056" width="6.7109375" style="81"/>
    <col min="13057" max="13057" width="3.85546875" style="81" customWidth="1"/>
    <col min="13058" max="13058" width="23.42578125" style="81" customWidth="1"/>
    <col min="13059" max="13059" width="9.42578125" style="81" customWidth="1"/>
    <col min="13060" max="13061" width="7.42578125" style="81" customWidth="1"/>
    <col min="13062" max="13070" width="0" style="81" hidden="1" customWidth="1"/>
    <col min="13071" max="13077" width="6.42578125" style="81" customWidth="1"/>
    <col min="13078" max="13078" width="6.140625" style="81" customWidth="1"/>
    <col min="13079" max="13087" width="0" style="81" hidden="1" customWidth="1"/>
    <col min="13088" max="13090" width="6.42578125" style="81" customWidth="1"/>
    <col min="13091" max="13091" width="5.5703125" style="81" customWidth="1"/>
    <col min="13092" max="13109" width="6.7109375" style="81" customWidth="1"/>
    <col min="13110" max="13110" width="14.140625" style="81" customWidth="1"/>
    <col min="13111" max="13312" width="6.7109375" style="81"/>
    <col min="13313" max="13313" width="3.85546875" style="81" customWidth="1"/>
    <col min="13314" max="13314" width="23.42578125" style="81" customWidth="1"/>
    <col min="13315" max="13315" width="9.42578125" style="81" customWidth="1"/>
    <col min="13316" max="13317" width="7.42578125" style="81" customWidth="1"/>
    <col min="13318" max="13326" width="0" style="81" hidden="1" customWidth="1"/>
    <col min="13327" max="13333" width="6.42578125" style="81" customWidth="1"/>
    <col min="13334" max="13334" width="6.140625" style="81" customWidth="1"/>
    <col min="13335" max="13343" width="0" style="81" hidden="1" customWidth="1"/>
    <col min="13344" max="13346" width="6.42578125" style="81" customWidth="1"/>
    <col min="13347" max="13347" width="5.5703125" style="81" customWidth="1"/>
    <col min="13348" max="13365" width="6.7109375" style="81" customWidth="1"/>
    <col min="13366" max="13366" width="14.140625" style="81" customWidth="1"/>
    <col min="13367" max="13568" width="6.7109375" style="81"/>
    <col min="13569" max="13569" width="3.85546875" style="81" customWidth="1"/>
    <col min="13570" max="13570" width="23.42578125" style="81" customWidth="1"/>
    <col min="13571" max="13571" width="9.42578125" style="81" customWidth="1"/>
    <col min="13572" max="13573" width="7.42578125" style="81" customWidth="1"/>
    <col min="13574" max="13582" width="0" style="81" hidden="1" customWidth="1"/>
    <col min="13583" max="13589" width="6.42578125" style="81" customWidth="1"/>
    <col min="13590" max="13590" width="6.140625" style="81" customWidth="1"/>
    <col min="13591" max="13599" width="0" style="81" hidden="1" customWidth="1"/>
    <col min="13600" max="13602" width="6.42578125" style="81" customWidth="1"/>
    <col min="13603" max="13603" width="5.5703125" style="81" customWidth="1"/>
    <col min="13604" max="13621" width="6.7109375" style="81" customWidth="1"/>
    <col min="13622" max="13622" width="14.140625" style="81" customWidth="1"/>
    <col min="13623" max="13824" width="6.7109375" style="81"/>
    <col min="13825" max="13825" width="3.85546875" style="81" customWidth="1"/>
    <col min="13826" max="13826" width="23.42578125" style="81" customWidth="1"/>
    <col min="13827" max="13827" width="9.42578125" style="81" customWidth="1"/>
    <col min="13828" max="13829" width="7.42578125" style="81" customWidth="1"/>
    <col min="13830" max="13838" width="0" style="81" hidden="1" customWidth="1"/>
    <col min="13839" max="13845" width="6.42578125" style="81" customWidth="1"/>
    <col min="13846" max="13846" width="6.140625" style="81" customWidth="1"/>
    <col min="13847" max="13855" width="0" style="81" hidden="1" customWidth="1"/>
    <col min="13856" max="13858" width="6.42578125" style="81" customWidth="1"/>
    <col min="13859" max="13859" width="5.5703125" style="81" customWidth="1"/>
    <col min="13860" max="13877" width="6.7109375" style="81" customWidth="1"/>
    <col min="13878" max="13878" width="14.140625" style="81" customWidth="1"/>
    <col min="13879" max="14080" width="6.7109375" style="81"/>
    <col min="14081" max="14081" width="3.85546875" style="81" customWidth="1"/>
    <col min="14082" max="14082" width="23.42578125" style="81" customWidth="1"/>
    <col min="14083" max="14083" width="9.42578125" style="81" customWidth="1"/>
    <col min="14084" max="14085" width="7.42578125" style="81" customWidth="1"/>
    <col min="14086" max="14094" width="0" style="81" hidden="1" customWidth="1"/>
    <col min="14095" max="14101" width="6.42578125" style="81" customWidth="1"/>
    <col min="14102" max="14102" width="6.140625" style="81" customWidth="1"/>
    <col min="14103" max="14111" width="0" style="81" hidden="1" customWidth="1"/>
    <col min="14112" max="14114" width="6.42578125" style="81" customWidth="1"/>
    <col min="14115" max="14115" width="5.5703125" style="81" customWidth="1"/>
    <col min="14116" max="14133" width="6.7109375" style="81" customWidth="1"/>
    <col min="14134" max="14134" width="14.140625" style="81" customWidth="1"/>
    <col min="14135" max="14336" width="6.7109375" style="81"/>
    <col min="14337" max="14337" width="3.85546875" style="81" customWidth="1"/>
    <col min="14338" max="14338" width="23.42578125" style="81" customWidth="1"/>
    <col min="14339" max="14339" width="9.42578125" style="81" customWidth="1"/>
    <col min="14340" max="14341" width="7.42578125" style="81" customWidth="1"/>
    <col min="14342" max="14350" width="0" style="81" hidden="1" customWidth="1"/>
    <col min="14351" max="14357" width="6.42578125" style="81" customWidth="1"/>
    <col min="14358" max="14358" width="6.140625" style="81" customWidth="1"/>
    <col min="14359" max="14367" width="0" style="81" hidden="1" customWidth="1"/>
    <col min="14368" max="14370" width="6.42578125" style="81" customWidth="1"/>
    <col min="14371" max="14371" width="5.5703125" style="81" customWidth="1"/>
    <col min="14372" max="14389" width="6.7109375" style="81" customWidth="1"/>
    <col min="14390" max="14390" width="14.140625" style="81" customWidth="1"/>
    <col min="14391" max="14592" width="6.7109375" style="81"/>
    <col min="14593" max="14593" width="3.85546875" style="81" customWidth="1"/>
    <col min="14594" max="14594" width="23.42578125" style="81" customWidth="1"/>
    <col min="14595" max="14595" width="9.42578125" style="81" customWidth="1"/>
    <col min="14596" max="14597" width="7.42578125" style="81" customWidth="1"/>
    <col min="14598" max="14606" width="0" style="81" hidden="1" customWidth="1"/>
    <col min="14607" max="14613" width="6.42578125" style="81" customWidth="1"/>
    <col min="14614" max="14614" width="6.140625" style="81" customWidth="1"/>
    <col min="14615" max="14623" width="0" style="81" hidden="1" customWidth="1"/>
    <col min="14624" max="14626" width="6.42578125" style="81" customWidth="1"/>
    <col min="14627" max="14627" width="5.5703125" style="81" customWidth="1"/>
    <col min="14628" max="14645" width="6.7109375" style="81" customWidth="1"/>
    <col min="14646" max="14646" width="14.140625" style="81" customWidth="1"/>
    <col min="14647" max="14848" width="6.7109375" style="81"/>
    <col min="14849" max="14849" width="3.85546875" style="81" customWidth="1"/>
    <col min="14850" max="14850" width="23.42578125" style="81" customWidth="1"/>
    <col min="14851" max="14851" width="9.42578125" style="81" customWidth="1"/>
    <col min="14852" max="14853" width="7.42578125" style="81" customWidth="1"/>
    <col min="14854" max="14862" width="0" style="81" hidden="1" customWidth="1"/>
    <col min="14863" max="14869" width="6.42578125" style="81" customWidth="1"/>
    <col min="14870" max="14870" width="6.140625" style="81" customWidth="1"/>
    <col min="14871" max="14879" width="0" style="81" hidden="1" customWidth="1"/>
    <col min="14880" max="14882" width="6.42578125" style="81" customWidth="1"/>
    <col min="14883" max="14883" width="5.5703125" style="81" customWidth="1"/>
    <col min="14884" max="14901" width="6.7109375" style="81" customWidth="1"/>
    <col min="14902" max="14902" width="14.140625" style="81" customWidth="1"/>
    <col min="14903" max="15104" width="6.7109375" style="81"/>
    <col min="15105" max="15105" width="3.85546875" style="81" customWidth="1"/>
    <col min="15106" max="15106" width="23.42578125" style="81" customWidth="1"/>
    <col min="15107" max="15107" width="9.42578125" style="81" customWidth="1"/>
    <col min="15108" max="15109" width="7.42578125" style="81" customWidth="1"/>
    <col min="15110" max="15118" width="0" style="81" hidden="1" customWidth="1"/>
    <col min="15119" max="15125" width="6.42578125" style="81" customWidth="1"/>
    <col min="15126" max="15126" width="6.140625" style="81" customWidth="1"/>
    <col min="15127" max="15135" width="0" style="81" hidden="1" customWidth="1"/>
    <col min="15136" max="15138" width="6.42578125" style="81" customWidth="1"/>
    <col min="15139" max="15139" width="5.5703125" style="81" customWidth="1"/>
    <col min="15140" max="15157" width="6.7109375" style="81" customWidth="1"/>
    <col min="15158" max="15158" width="14.140625" style="81" customWidth="1"/>
    <col min="15159" max="15360" width="6.7109375" style="81"/>
    <col min="15361" max="15361" width="3.85546875" style="81" customWidth="1"/>
    <col min="15362" max="15362" width="23.42578125" style="81" customWidth="1"/>
    <col min="15363" max="15363" width="9.42578125" style="81" customWidth="1"/>
    <col min="15364" max="15365" width="7.42578125" style="81" customWidth="1"/>
    <col min="15366" max="15374" width="0" style="81" hidden="1" customWidth="1"/>
    <col min="15375" max="15381" width="6.42578125" style="81" customWidth="1"/>
    <col min="15382" max="15382" width="6.140625" style="81" customWidth="1"/>
    <col min="15383" max="15391" width="0" style="81" hidden="1" customWidth="1"/>
    <col min="15392" max="15394" width="6.42578125" style="81" customWidth="1"/>
    <col min="15395" max="15395" width="5.5703125" style="81" customWidth="1"/>
    <col min="15396" max="15413" width="6.7109375" style="81" customWidth="1"/>
    <col min="15414" max="15414" width="14.140625" style="81" customWidth="1"/>
    <col min="15415" max="15616" width="6.7109375" style="81"/>
    <col min="15617" max="15617" width="3.85546875" style="81" customWidth="1"/>
    <col min="15618" max="15618" width="23.42578125" style="81" customWidth="1"/>
    <col min="15619" max="15619" width="9.42578125" style="81" customWidth="1"/>
    <col min="15620" max="15621" width="7.42578125" style="81" customWidth="1"/>
    <col min="15622" max="15630" width="0" style="81" hidden="1" customWidth="1"/>
    <col min="15631" max="15637" width="6.42578125" style="81" customWidth="1"/>
    <col min="15638" max="15638" width="6.140625" style="81" customWidth="1"/>
    <col min="15639" max="15647" width="0" style="81" hidden="1" customWidth="1"/>
    <col min="15648" max="15650" width="6.42578125" style="81" customWidth="1"/>
    <col min="15651" max="15651" width="5.5703125" style="81" customWidth="1"/>
    <col min="15652" max="15669" width="6.7109375" style="81" customWidth="1"/>
    <col min="15670" max="15670" width="14.140625" style="81" customWidth="1"/>
    <col min="15671" max="15872" width="6.7109375" style="81"/>
    <col min="15873" max="15873" width="3.85546875" style="81" customWidth="1"/>
    <col min="15874" max="15874" width="23.42578125" style="81" customWidth="1"/>
    <col min="15875" max="15875" width="9.42578125" style="81" customWidth="1"/>
    <col min="15876" max="15877" width="7.42578125" style="81" customWidth="1"/>
    <col min="15878" max="15886" width="0" style="81" hidden="1" customWidth="1"/>
    <col min="15887" max="15893" width="6.42578125" style="81" customWidth="1"/>
    <col min="15894" max="15894" width="6.140625" style="81" customWidth="1"/>
    <col min="15895" max="15903" width="0" style="81" hidden="1" customWidth="1"/>
    <col min="15904" max="15906" width="6.42578125" style="81" customWidth="1"/>
    <col min="15907" max="15907" width="5.5703125" style="81" customWidth="1"/>
    <col min="15908" max="15925" width="6.7109375" style="81" customWidth="1"/>
    <col min="15926" max="15926" width="14.140625" style="81" customWidth="1"/>
    <col min="15927" max="16128" width="6.7109375" style="81"/>
    <col min="16129" max="16129" width="3.85546875" style="81" customWidth="1"/>
    <col min="16130" max="16130" width="23.42578125" style="81" customWidth="1"/>
    <col min="16131" max="16131" width="9.42578125" style="81" customWidth="1"/>
    <col min="16132" max="16133" width="7.42578125" style="81" customWidth="1"/>
    <col min="16134" max="16142" width="0" style="81" hidden="1" customWidth="1"/>
    <col min="16143" max="16149" width="6.42578125" style="81" customWidth="1"/>
    <col min="16150" max="16150" width="6.140625" style="81" customWidth="1"/>
    <col min="16151" max="16159" width="0" style="81" hidden="1" customWidth="1"/>
    <col min="16160" max="16162" width="6.42578125" style="81" customWidth="1"/>
    <col min="16163" max="16163" width="5.5703125" style="81" customWidth="1"/>
    <col min="16164" max="16181" width="6.7109375" style="81" customWidth="1"/>
    <col min="16182" max="16182" width="14.140625" style="81" customWidth="1"/>
    <col min="16183" max="16384" width="6.7109375" style="81"/>
  </cols>
  <sheetData>
    <row r="1" spans="1:35" s="79" customFormat="1" ht="18.75" customHeight="1" x14ac:dyDescent="0.25">
      <c r="A1" s="77"/>
      <c r="B1" s="78"/>
      <c r="C1" s="78"/>
      <c r="D1" s="78"/>
      <c r="F1" s="80"/>
      <c r="G1" s="80"/>
      <c r="U1" s="261" t="s">
        <v>570</v>
      </c>
      <c r="V1" s="261"/>
      <c r="W1" s="261"/>
      <c r="X1" s="261"/>
      <c r="Y1" s="261"/>
      <c r="Z1" s="261"/>
      <c r="AA1" s="261"/>
      <c r="AB1" s="261"/>
      <c r="AC1" s="261"/>
      <c r="AD1" s="261"/>
      <c r="AE1" s="261"/>
      <c r="AF1" s="261"/>
      <c r="AG1" s="261"/>
      <c r="AH1" s="261"/>
      <c r="AI1" s="261"/>
    </row>
    <row r="2" spans="1:35" s="79" customFormat="1" ht="6" customHeight="1" x14ac:dyDescent="0.25">
      <c r="A2" s="77"/>
      <c r="B2" s="78"/>
      <c r="C2" s="78"/>
      <c r="D2" s="78"/>
      <c r="F2" s="80"/>
      <c r="G2" s="80"/>
      <c r="W2" s="80"/>
      <c r="X2" s="80"/>
    </row>
    <row r="3" spans="1:35" ht="15.6" customHeight="1" x14ac:dyDescent="0.25">
      <c r="A3" s="262" t="s">
        <v>492</v>
      </c>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row>
    <row r="4" spans="1:35" s="82" customFormat="1" ht="18.75" customHeight="1" x14ac:dyDescent="0.25">
      <c r="A4" s="263" t="s">
        <v>586</v>
      </c>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row>
    <row r="5" spans="1:35" s="82" customFormat="1" ht="18.75" customHeight="1" x14ac:dyDescent="0.25">
      <c r="A5" s="150"/>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row>
    <row r="6" spans="1:35" s="82" customFormat="1" ht="15.75" customHeight="1" x14ac:dyDescent="0.25">
      <c r="A6" s="191" t="s">
        <v>460</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268" t="s">
        <v>556</v>
      </c>
      <c r="AH6" s="268"/>
      <c r="AI6" s="268"/>
    </row>
    <row r="7" spans="1:35" ht="16.5" customHeight="1" x14ac:dyDescent="0.25">
      <c r="A7" s="264" t="s">
        <v>557</v>
      </c>
      <c r="B7" s="264" t="s">
        <v>282</v>
      </c>
      <c r="C7" s="264" t="s">
        <v>493</v>
      </c>
      <c r="D7" s="264"/>
      <c r="E7" s="264"/>
      <c r="F7" s="264"/>
      <c r="G7" s="264"/>
      <c r="H7" s="264"/>
      <c r="I7" s="264"/>
      <c r="J7" s="264"/>
      <c r="K7" s="264"/>
      <c r="L7" s="264"/>
      <c r="M7" s="264"/>
      <c r="N7" s="264"/>
      <c r="O7" s="265" t="s">
        <v>132</v>
      </c>
      <c r="P7" s="266"/>
      <c r="Q7" s="266"/>
      <c r="R7" s="266"/>
      <c r="S7" s="266"/>
      <c r="T7" s="266"/>
      <c r="U7" s="266"/>
      <c r="V7" s="266"/>
      <c r="W7" s="266"/>
      <c r="X7" s="266"/>
      <c r="Y7" s="266"/>
      <c r="Z7" s="266"/>
      <c r="AA7" s="266"/>
      <c r="AB7" s="266"/>
      <c r="AC7" s="266"/>
      <c r="AD7" s="266"/>
      <c r="AE7" s="266"/>
      <c r="AF7" s="267"/>
      <c r="AG7" s="265" t="s">
        <v>283</v>
      </c>
      <c r="AH7" s="266"/>
      <c r="AI7" s="267"/>
    </row>
    <row r="8" spans="1:35" ht="16.5" customHeight="1" x14ac:dyDescent="0.25">
      <c r="A8" s="264"/>
      <c r="B8" s="264"/>
      <c r="C8" s="264" t="s">
        <v>24</v>
      </c>
      <c r="D8" s="264" t="s">
        <v>29</v>
      </c>
      <c r="E8" s="264"/>
      <c r="F8" s="192"/>
      <c r="G8" s="192"/>
      <c r="H8" s="192"/>
      <c r="I8" s="192"/>
      <c r="J8" s="192"/>
      <c r="K8" s="192"/>
      <c r="L8" s="192"/>
      <c r="M8" s="192"/>
      <c r="N8" s="192"/>
      <c r="O8" s="264" t="s">
        <v>24</v>
      </c>
      <c r="P8" s="264" t="s">
        <v>29</v>
      </c>
      <c r="Q8" s="264"/>
      <c r="R8" s="264" t="s">
        <v>30</v>
      </c>
      <c r="S8" s="264"/>
      <c r="T8" s="264"/>
      <c r="U8" s="264"/>
      <c r="V8" s="264"/>
      <c r="W8" s="264"/>
      <c r="X8" s="264"/>
      <c r="Y8" s="264"/>
      <c r="Z8" s="264"/>
      <c r="AA8" s="264"/>
      <c r="AB8" s="264"/>
      <c r="AC8" s="264"/>
      <c r="AD8" s="264"/>
      <c r="AE8" s="264"/>
      <c r="AF8" s="264"/>
      <c r="AG8" s="269" t="s">
        <v>24</v>
      </c>
      <c r="AH8" s="265" t="s">
        <v>29</v>
      </c>
      <c r="AI8" s="267"/>
    </row>
    <row r="9" spans="1:35" ht="16.5" customHeight="1" x14ac:dyDescent="0.25">
      <c r="A9" s="264"/>
      <c r="B9" s="264"/>
      <c r="C9" s="264"/>
      <c r="D9" s="264" t="s">
        <v>127</v>
      </c>
      <c r="E9" s="264" t="s">
        <v>128</v>
      </c>
      <c r="F9" s="264" t="s">
        <v>26</v>
      </c>
      <c r="G9" s="264"/>
      <c r="H9" s="264"/>
      <c r="I9" s="264"/>
      <c r="J9" s="264"/>
      <c r="K9" s="264"/>
      <c r="L9" s="264"/>
      <c r="M9" s="264"/>
      <c r="N9" s="264"/>
      <c r="O9" s="264"/>
      <c r="P9" s="264" t="s">
        <v>127</v>
      </c>
      <c r="Q9" s="264" t="s">
        <v>128</v>
      </c>
      <c r="R9" s="264" t="s">
        <v>66</v>
      </c>
      <c r="S9" s="264"/>
      <c r="T9" s="264"/>
      <c r="U9" s="264" t="s">
        <v>128</v>
      </c>
      <c r="V9" s="264"/>
      <c r="W9" s="264"/>
      <c r="X9" s="264"/>
      <c r="Y9" s="264"/>
      <c r="Z9" s="264"/>
      <c r="AA9" s="264"/>
      <c r="AB9" s="264"/>
      <c r="AC9" s="264"/>
      <c r="AD9" s="264"/>
      <c r="AE9" s="264"/>
      <c r="AF9" s="264"/>
      <c r="AG9" s="270"/>
      <c r="AH9" s="269" t="s">
        <v>127</v>
      </c>
      <c r="AI9" s="269" t="s">
        <v>128</v>
      </c>
    </row>
    <row r="10" spans="1:35" ht="16.5" customHeight="1" x14ac:dyDescent="0.25">
      <c r="A10" s="264"/>
      <c r="B10" s="264"/>
      <c r="C10" s="264"/>
      <c r="D10" s="264"/>
      <c r="E10" s="264"/>
      <c r="F10" s="264"/>
      <c r="G10" s="264"/>
      <c r="H10" s="264"/>
      <c r="I10" s="264"/>
      <c r="J10" s="264"/>
      <c r="K10" s="264"/>
      <c r="L10" s="264"/>
      <c r="M10" s="264"/>
      <c r="N10" s="264"/>
      <c r="O10" s="264"/>
      <c r="P10" s="264"/>
      <c r="Q10" s="264"/>
      <c r="R10" s="269" t="s">
        <v>24</v>
      </c>
      <c r="S10" s="265" t="s">
        <v>130</v>
      </c>
      <c r="T10" s="267"/>
      <c r="U10" s="264" t="s">
        <v>24</v>
      </c>
      <c r="V10" s="264" t="s">
        <v>130</v>
      </c>
      <c r="W10" s="264"/>
      <c r="X10" s="264"/>
      <c r="Y10" s="264"/>
      <c r="Z10" s="264"/>
      <c r="AA10" s="264"/>
      <c r="AB10" s="264"/>
      <c r="AC10" s="264"/>
      <c r="AD10" s="264"/>
      <c r="AE10" s="264"/>
      <c r="AF10" s="264"/>
      <c r="AG10" s="270"/>
      <c r="AH10" s="270"/>
      <c r="AI10" s="270"/>
    </row>
    <row r="11" spans="1:35" ht="41.25" customHeight="1" x14ac:dyDescent="0.25">
      <c r="A11" s="264"/>
      <c r="B11" s="264"/>
      <c r="C11" s="264"/>
      <c r="D11" s="264"/>
      <c r="E11" s="264"/>
      <c r="F11" s="193" t="s">
        <v>284</v>
      </c>
      <c r="G11" s="193" t="s">
        <v>561</v>
      </c>
      <c r="H11" s="193" t="s">
        <v>562</v>
      </c>
      <c r="I11" s="193" t="s">
        <v>285</v>
      </c>
      <c r="J11" s="193" t="s">
        <v>563</v>
      </c>
      <c r="K11" s="193" t="s">
        <v>286</v>
      </c>
      <c r="L11" s="193" t="s">
        <v>564</v>
      </c>
      <c r="M11" s="193" t="s">
        <v>565</v>
      </c>
      <c r="N11" s="193" t="s">
        <v>566</v>
      </c>
      <c r="O11" s="264"/>
      <c r="P11" s="264"/>
      <c r="Q11" s="264"/>
      <c r="R11" s="271"/>
      <c r="S11" s="192" t="s">
        <v>27</v>
      </c>
      <c r="T11" s="192" t="s">
        <v>129</v>
      </c>
      <c r="U11" s="264"/>
      <c r="V11" s="192" t="s">
        <v>27</v>
      </c>
      <c r="W11" s="193" t="s">
        <v>284</v>
      </c>
      <c r="X11" s="193" t="s">
        <v>561</v>
      </c>
      <c r="Y11" s="193" t="s">
        <v>562</v>
      </c>
      <c r="Z11" s="193" t="s">
        <v>285</v>
      </c>
      <c r="AA11" s="193" t="s">
        <v>563</v>
      </c>
      <c r="AB11" s="193" t="s">
        <v>286</v>
      </c>
      <c r="AC11" s="193" t="s">
        <v>564</v>
      </c>
      <c r="AD11" s="193" t="s">
        <v>565</v>
      </c>
      <c r="AE11" s="193" t="s">
        <v>566</v>
      </c>
      <c r="AF11" s="192" t="s">
        <v>129</v>
      </c>
      <c r="AG11" s="271"/>
      <c r="AH11" s="271"/>
      <c r="AI11" s="271"/>
    </row>
    <row r="12" spans="1:35" ht="15" customHeight="1" x14ac:dyDescent="0.25">
      <c r="A12" s="193" t="s">
        <v>2</v>
      </c>
      <c r="B12" s="193" t="s">
        <v>3</v>
      </c>
      <c r="C12" s="193">
        <v>1</v>
      </c>
      <c r="D12" s="193">
        <v>2</v>
      </c>
      <c r="E12" s="193">
        <v>3</v>
      </c>
      <c r="F12" s="193"/>
      <c r="G12" s="193"/>
      <c r="H12" s="193"/>
      <c r="I12" s="193"/>
      <c r="J12" s="193"/>
      <c r="K12" s="193"/>
      <c r="L12" s="193"/>
      <c r="M12" s="193"/>
      <c r="N12" s="193"/>
      <c r="O12" s="193">
        <v>4</v>
      </c>
      <c r="P12" s="193">
        <v>5</v>
      </c>
      <c r="Q12" s="193">
        <v>6</v>
      </c>
      <c r="R12" s="193">
        <v>7</v>
      </c>
      <c r="S12" s="193">
        <v>8</v>
      </c>
      <c r="T12" s="193">
        <v>9</v>
      </c>
      <c r="U12" s="193">
        <v>10</v>
      </c>
      <c r="V12" s="193">
        <v>11</v>
      </c>
      <c r="W12" s="193"/>
      <c r="X12" s="193"/>
      <c r="Y12" s="193"/>
      <c r="Z12" s="193"/>
      <c r="AA12" s="193"/>
      <c r="AB12" s="193"/>
      <c r="AC12" s="193"/>
      <c r="AD12" s="193"/>
      <c r="AE12" s="193"/>
      <c r="AF12" s="193">
        <v>12</v>
      </c>
      <c r="AG12" s="193" t="s">
        <v>287</v>
      </c>
      <c r="AH12" s="193" t="s">
        <v>288</v>
      </c>
      <c r="AI12" s="193" t="s">
        <v>289</v>
      </c>
    </row>
    <row r="13" spans="1:35" ht="17.25" customHeight="1" x14ac:dyDescent="0.25">
      <c r="A13" s="193"/>
      <c r="B13" s="192" t="s">
        <v>25</v>
      </c>
      <c r="C13" s="194">
        <f>C14+C126</f>
        <v>248129</v>
      </c>
      <c r="D13" s="194">
        <f>D14+D126</f>
        <v>197060</v>
      </c>
      <c r="E13" s="194">
        <f>E14+E126</f>
        <v>51069</v>
      </c>
      <c r="F13" s="193"/>
      <c r="G13" s="193"/>
      <c r="H13" s="193"/>
      <c r="I13" s="193"/>
      <c r="J13" s="193"/>
      <c r="K13" s="193"/>
      <c r="L13" s="193"/>
      <c r="M13" s="193"/>
      <c r="N13" s="193"/>
      <c r="O13" s="194">
        <f>O14+O126</f>
        <v>232332</v>
      </c>
      <c r="P13" s="194">
        <f>P14+P126</f>
        <v>187315</v>
      </c>
      <c r="Q13" s="194">
        <f>Q14+Q126</f>
        <v>45017</v>
      </c>
      <c r="R13" s="194">
        <f>R14+R126</f>
        <v>187315</v>
      </c>
      <c r="S13" s="194">
        <f>S14+S126</f>
        <v>187315</v>
      </c>
      <c r="T13" s="193"/>
      <c r="U13" s="194">
        <f>U14+U126</f>
        <v>45017</v>
      </c>
      <c r="V13" s="194">
        <f>V14+V126</f>
        <v>45017</v>
      </c>
      <c r="W13" s="193"/>
      <c r="X13" s="193"/>
      <c r="Y13" s="193"/>
      <c r="Z13" s="193"/>
      <c r="AA13" s="193"/>
      <c r="AB13" s="193"/>
      <c r="AC13" s="193"/>
      <c r="AD13" s="193"/>
      <c r="AE13" s="193"/>
      <c r="AF13" s="193"/>
      <c r="AG13" s="195">
        <f>O13/C13*100</f>
        <v>93.633553514502537</v>
      </c>
      <c r="AH13" s="195">
        <f>P13/D13*100</f>
        <v>95.054805642951393</v>
      </c>
      <c r="AI13" s="195">
        <f>Q13/E13*100</f>
        <v>88.149366543304154</v>
      </c>
    </row>
    <row r="14" spans="1:35" s="198" customFormat="1" ht="13.5" customHeight="1" x14ac:dyDescent="0.25">
      <c r="A14" s="192" t="s">
        <v>11</v>
      </c>
      <c r="B14" s="204" t="s">
        <v>290</v>
      </c>
      <c r="C14" s="196">
        <f>C20+C61+C62+C91+C94+C98+C105+C107+C112+C113+C116+C118+C119+C120+C125</f>
        <v>66215</v>
      </c>
      <c r="D14" s="196">
        <f>D20+D120</f>
        <v>36694</v>
      </c>
      <c r="E14" s="196">
        <f>E20+E61+E62+E91+E94+E98+E105+E107+E112+E113+E116+E118+E120+E125+E119</f>
        <v>29521</v>
      </c>
      <c r="F14" s="196">
        <f t="shared" ref="F14:N14" si="0">SUM(F15,F16,F20,F34,F37,F41,F45,F47,F50,F54,F62,F91,F94,F98,F102,F105,F107,F110:F113,F116,,F120:F124)</f>
        <v>0</v>
      </c>
      <c r="G14" s="196">
        <f t="shared" si="0"/>
        <v>0</v>
      </c>
      <c r="H14" s="196">
        <f t="shared" si="0"/>
        <v>0</v>
      </c>
      <c r="I14" s="196">
        <f t="shared" si="0"/>
        <v>0</v>
      </c>
      <c r="J14" s="196">
        <f t="shared" si="0"/>
        <v>0</v>
      </c>
      <c r="K14" s="196">
        <f t="shared" si="0"/>
        <v>0</v>
      </c>
      <c r="L14" s="196">
        <f t="shared" si="0"/>
        <v>7790</v>
      </c>
      <c r="M14" s="196">
        <f t="shared" si="0"/>
        <v>0</v>
      </c>
      <c r="N14" s="196">
        <f t="shared" si="0"/>
        <v>4698</v>
      </c>
      <c r="O14" s="196">
        <f>P14+Q14</f>
        <v>59223</v>
      </c>
      <c r="P14" s="196">
        <f>P20+P61+P62+P91+P94+P98+P105+P107+P112+P113+P116+P118+P120+P125</f>
        <v>32047</v>
      </c>
      <c r="Q14" s="196">
        <f>U14</f>
        <v>27176</v>
      </c>
      <c r="R14" s="196">
        <f>S14+T14</f>
        <v>32047</v>
      </c>
      <c r="S14" s="196">
        <f>S31+S120</f>
        <v>32047</v>
      </c>
      <c r="T14" s="196">
        <f>SUM(T15:T16,T20:T34,T37:T41,T45:T47,T50:T54,T62:T91,T94:T98,T102:T105,T107:T110:T113:T116,,T120:T124)</f>
        <v>0</v>
      </c>
      <c r="U14" s="196">
        <f>V14+AF14</f>
        <v>27176</v>
      </c>
      <c r="V14" s="196">
        <f>V20+V61+V62+V91+V94+V98+V105+V107+V112+V113+V116+V118+V119+V120</f>
        <v>27176</v>
      </c>
      <c r="W14" s="196">
        <f t="shared" ref="W14:AE14" si="1">SUM(W15,W16,W20,W34,W37,W41,W45,W47,W50,W54,W62,W91,W94,W98,W102,W105,W107,W110:W113,W116,,W120:W124)</f>
        <v>134</v>
      </c>
      <c r="X14" s="196">
        <f t="shared" si="1"/>
        <v>245</v>
      </c>
      <c r="Y14" s="196">
        <f t="shared" si="1"/>
        <v>0</v>
      </c>
      <c r="Z14" s="196">
        <f t="shared" si="1"/>
        <v>0</v>
      </c>
      <c r="AA14" s="196">
        <f t="shared" si="1"/>
        <v>0</v>
      </c>
      <c r="AB14" s="196">
        <f t="shared" si="1"/>
        <v>0</v>
      </c>
      <c r="AC14" s="196">
        <f t="shared" si="1"/>
        <v>6442</v>
      </c>
      <c r="AD14" s="196">
        <f t="shared" si="1"/>
        <v>0</v>
      </c>
      <c r="AE14" s="196">
        <f t="shared" si="1"/>
        <v>3120</v>
      </c>
      <c r="AF14" s="196"/>
      <c r="AG14" s="197">
        <f t="shared" ref="AG14:AI19" si="2">O14/C14*100</f>
        <v>89.440459110473455</v>
      </c>
      <c r="AH14" s="195">
        <f>P14/D14*100</f>
        <v>87.335804218673346</v>
      </c>
      <c r="AI14" s="197">
        <f t="shared" si="2"/>
        <v>92.056502151011145</v>
      </c>
    </row>
    <row r="15" spans="1:35" hidden="1" x14ac:dyDescent="0.25">
      <c r="A15" s="193">
        <v>1</v>
      </c>
      <c r="B15" s="205" t="s">
        <v>291</v>
      </c>
      <c r="C15" s="199">
        <f>D15+E15</f>
        <v>0</v>
      </c>
      <c r="D15" s="199"/>
      <c r="E15" s="199">
        <f>SUM(F15:N15)</f>
        <v>0</v>
      </c>
      <c r="F15" s="199"/>
      <c r="G15" s="199"/>
      <c r="H15" s="199"/>
      <c r="I15" s="199"/>
      <c r="J15" s="199"/>
      <c r="K15" s="199"/>
      <c r="L15" s="199"/>
      <c r="M15" s="199"/>
      <c r="N15" s="199"/>
      <c r="O15" s="199">
        <f>P15+Q15</f>
        <v>0</v>
      </c>
      <c r="P15" s="199">
        <f>R15</f>
        <v>0</v>
      </c>
      <c r="Q15" s="199">
        <f>U15</f>
        <v>0</v>
      </c>
      <c r="R15" s="196"/>
      <c r="S15" s="199"/>
      <c r="T15" s="199"/>
      <c r="U15" s="199">
        <f>V15+AF15</f>
        <v>0</v>
      </c>
      <c r="V15" s="199">
        <f>SUM(W15:AE15)</f>
        <v>0</v>
      </c>
      <c r="W15" s="199"/>
      <c r="X15" s="199"/>
      <c r="Y15" s="199"/>
      <c r="Z15" s="199"/>
      <c r="AA15" s="199"/>
      <c r="AB15" s="199"/>
      <c r="AC15" s="199"/>
      <c r="AD15" s="199"/>
      <c r="AE15" s="199"/>
      <c r="AF15" s="199"/>
      <c r="AG15" s="197" t="e">
        <f t="shared" si="2"/>
        <v>#DIV/0!</v>
      </c>
      <c r="AH15" s="199" t="e">
        <f t="shared" si="2"/>
        <v>#DIV/0!</v>
      </c>
      <c r="AI15" s="199" t="e">
        <f t="shared" si="2"/>
        <v>#DIV/0!</v>
      </c>
    </row>
    <row r="16" spans="1:35" ht="25.5" hidden="1" x14ac:dyDescent="0.25">
      <c r="A16" s="193">
        <v>2</v>
      </c>
      <c r="B16" s="205" t="s">
        <v>292</v>
      </c>
      <c r="C16" s="199">
        <f t="shared" ref="C16:C44" si="3">D16+E16</f>
        <v>0</v>
      </c>
      <c r="D16" s="199"/>
      <c r="E16" s="199">
        <f t="shared" ref="E16:AE16" si="4">SUM(E17:E19)</f>
        <v>0</v>
      </c>
      <c r="F16" s="199">
        <f t="shared" si="4"/>
        <v>0</v>
      </c>
      <c r="G16" s="199">
        <f t="shared" si="4"/>
        <v>0</v>
      </c>
      <c r="H16" s="199">
        <f t="shared" si="4"/>
        <v>0</v>
      </c>
      <c r="I16" s="199">
        <f t="shared" si="4"/>
        <v>0</v>
      </c>
      <c r="J16" s="199">
        <f t="shared" si="4"/>
        <v>0</v>
      </c>
      <c r="K16" s="199">
        <f t="shared" si="4"/>
        <v>0</v>
      </c>
      <c r="L16" s="199">
        <f t="shared" si="4"/>
        <v>0</v>
      </c>
      <c r="M16" s="199">
        <f t="shared" si="4"/>
        <v>0</v>
      </c>
      <c r="N16" s="199">
        <f t="shared" si="4"/>
        <v>0</v>
      </c>
      <c r="O16" s="199">
        <f t="shared" ref="O16:O44" si="5">P16+Q16</f>
        <v>0</v>
      </c>
      <c r="P16" s="199">
        <f t="shared" ref="P16:P44" si="6">R16</f>
        <v>0</v>
      </c>
      <c r="Q16" s="199">
        <f t="shared" ref="Q16:Q44" si="7">U16</f>
        <v>0</v>
      </c>
      <c r="R16" s="196"/>
      <c r="S16" s="199"/>
      <c r="T16" s="199"/>
      <c r="U16" s="199">
        <f t="shared" ref="U16:U44" si="8">V16+AF16</f>
        <v>0</v>
      </c>
      <c r="V16" s="199">
        <f t="shared" si="4"/>
        <v>0</v>
      </c>
      <c r="W16" s="199">
        <f t="shared" si="4"/>
        <v>0</v>
      </c>
      <c r="X16" s="199">
        <f t="shared" si="4"/>
        <v>0</v>
      </c>
      <c r="Y16" s="199">
        <f t="shared" si="4"/>
        <v>0</v>
      </c>
      <c r="Z16" s="199">
        <f t="shared" si="4"/>
        <v>0</v>
      </c>
      <c r="AA16" s="199">
        <f t="shared" si="4"/>
        <v>0</v>
      </c>
      <c r="AB16" s="199">
        <f t="shared" si="4"/>
        <v>0</v>
      </c>
      <c r="AC16" s="199">
        <f t="shared" si="4"/>
        <v>0</v>
      </c>
      <c r="AD16" s="199">
        <f t="shared" si="4"/>
        <v>0</v>
      </c>
      <c r="AE16" s="199">
        <f t="shared" si="4"/>
        <v>0</v>
      </c>
      <c r="AF16" s="199"/>
      <c r="AG16" s="197" t="e">
        <f t="shared" si="2"/>
        <v>#DIV/0!</v>
      </c>
      <c r="AH16" s="199" t="e">
        <f t="shared" si="2"/>
        <v>#DIV/0!</v>
      </c>
      <c r="AI16" s="199" t="e">
        <f t="shared" si="2"/>
        <v>#DIV/0!</v>
      </c>
    </row>
    <row r="17" spans="1:35" hidden="1" x14ac:dyDescent="0.25">
      <c r="A17" s="200" t="s">
        <v>293</v>
      </c>
      <c r="B17" s="206" t="s">
        <v>294</v>
      </c>
      <c r="C17" s="199">
        <f t="shared" si="3"/>
        <v>0</v>
      </c>
      <c r="D17" s="201"/>
      <c r="E17" s="201">
        <f>SUM(F17:N17)</f>
        <v>0</v>
      </c>
      <c r="F17" s="201"/>
      <c r="G17" s="201"/>
      <c r="H17" s="201"/>
      <c r="I17" s="201"/>
      <c r="J17" s="201"/>
      <c r="K17" s="201"/>
      <c r="L17" s="201"/>
      <c r="M17" s="201"/>
      <c r="N17" s="201"/>
      <c r="O17" s="199">
        <f t="shared" si="5"/>
        <v>0</v>
      </c>
      <c r="P17" s="199">
        <f t="shared" si="6"/>
        <v>0</v>
      </c>
      <c r="Q17" s="199">
        <f t="shared" si="7"/>
        <v>0</v>
      </c>
      <c r="R17" s="196"/>
      <c r="S17" s="201"/>
      <c r="T17" s="201"/>
      <c r="U17" s="199">
        <f t="shared" si="8"/>
        <v>0</v>
      </c>
      <c r="V17" s="201">
        <f>SUM(W17:AE17)</f>
        <v>0</v>
      </c>
      <c r="W17" s="201"/>
      <c r="X17" s="201"/>
      <c r="Y17" s="201"/>
      <c r="Z17" s="201"/>
      <c r="AA17" s="201"/>
      <c r="AB17" s="201"/>
      <c r="AC17" s="201"/>
      <c r="AD17" s="201"/>
      <c r="AE17" s="201"/>
      <c r="AF17" s="201"/>
      <c r="AG17" s="197" t="e">
        <f t="shared" si="2"/>
        <v>#DIV/0!</v>
      </c>
      <c r="AH17" s="199" t="e">
        <f t="shared" si="2"/>
        <v>#DIV/0!</v>
      </c>
      <c r="AI17" s="199" t="e">
        <f t="shared" si="2"/>
        <v>#DIV/0!</v>
      </c>
    </row>
    <row r="18" spans="1:35" hidden="1" x14ac:dyDescent="0.25">
      <c r="A18" s="200" t="s">
        <v>295</v>
      </c>
      <c r="B18" s="206" t="s">
        <v>296</v>
      </c>
      <c r="C18" s="199">
        <f t="shared" si="3"/>
        <v>0</v>
      </c>
      <c r="D18" s="201"/>
      <c r="E18" s="201">
        <f>SUM(F18:N18)</f>
        <v>0</v>
      </c>
      <c r="F18" s="201"/>
      <c r="G18" s="201"/>
      <c r="H18" s="201"/>
      <c r="I18" s="201"/>
      <c r="J18" s="201"/>
      <c r="K18" s="201"/>
      <c r="L18" s="201"/>
      <c r="M18" s="201"/>
      <c r="N18" s="201"/>
      <c r="O18" s="199">
        <f t="shared" si="5"/>
        <v>0</v>
      </c>
      <c r="P18" s="199">
        <f t="shared" si="6"/>
        <v>0</v>
      </c>
      <c r="Q18" s="199">
        <f t="shared" si="7"/>
        <v>0</v>
      </c>
      <c r="R18" s="196"/>
      <c r="S18" s="201"/>
      <c r="T18" s="201"/>
      <c r="U18" s="199">
        <f t="shared" si="8"/>
        <v>0</v>
      </c>
      <c r="V18" s="201">
        <f>SUM(W18:AE18)</f>
        <v>0</v>
      </c>
      <c r="W18" s="201"/>
      <c r="X18" s="201"/>
      <c r="Y18" s="201"/>
      <c r="Z18" s="201"/>
      <c r="AA18" s="201"/>
      <c r="AB18" s="201"/>
      <c r="AC18" s="201"/>
      <c r="AD18" s="201"/>
      <c r="AE18" s="201"/>
      <c r="AF18" s="201"/>
      <c r="AG18" s="197" t="e">
        <f t="shared" si="2"/>
        <v>#DIV/0!</v>
      </c>
      <c r="AH18" s="199" t="e">
        <f t="shared" si="2"/>
        <v>#DIV/0!</v>
      </c>
      <c r="AI18" s="199" t="e">
        <f t="shared" si="2"/>
        <v>#DIV/0!</v>
      </c>
    </row>
    <row r="19" spans="1:35" hidden="1" x14ac:dyDescent="0.25">
      <c r="A19" s="200" t="s">
        <v>297</v>
      </c>
      <c r="B19" s="206" t="s">
        <v>298</v>
      </c>
      <c r="C19" s="199">
        <f t="shared" si="3"/>
        <v>0</v>
      </c>
      <c r="D19" s="201"/>
      <c r="E19" s="201">
        <f>SUM(F19:N19)</f>
        <v>0</v>
      </c>
      <c r="F19" s="201"/>
      <c r="G19" s="201"/>
      <c r="H19" s="201"/>
      <c r="I19" s="201"/>
      <c r="J19" s="201"/>
      <c r="K19" s="201"/>
      <c r="L19" s="201"/>
      <c r="M19" s="201"/>
      <c r="N19" s="201"/>
      <c r="O19" s="199">
        <f t="shared" si="5"/>
        <v>0</v>
      </c>
      <c r="P19" s="199">
        <f t="shared" si="6"/>
        <v>0</v>
      </c>
      <c r="Q19" s="199">
        <f t="shared" si="7"/>
        <v>0</v>
      </c>
      <c r="R19" s="196"/>
      <c r="S19" s="201"/>
      <c r="T19" s="201"/>
      <c r="U19" s="199">
        <f t="shared" si="8"/>
        <v>0</v>
      </c>
      <c r="V19" s="201">
        <f>SUM(W19:AE19)</f>
        <v>0</v>
      </c>
      <c r="W19" s="201"/>
      <c r="X19" s="201"/>
      <c r="Y19" s="201"/>
      <c r="Z19" s="201"/>
      <c r="AA19" s="201"/>
      <c r="AB19" s="201"/>
      <c r="AC19" s="201"/>
      <c r="AD19" s="201"/>
      <c r="AE19" s="201"/>
      <c r="AF19" s="201"/>
      <c r="AG19" s="197" t="e">
        <f t="shared" si="2"/>
        <v>#DIV/0!</v>
      </c>
      <c r="AH19" s="199" t="e">
        <f t="shared" si="2"/>
        <v>#DIV/0!</v>
      </c>
      <c r="AI19" s="199" t="e">
        <f t="shared" si="2"/>
        <v>#DIV/0!</v>
      </c>
    </row>
    <row r="20" spans="1:35" ht="15.75" customHeight="1" x14ac:dyDescent="0.25">
      <c r="A20" s="193">
        <v>1</v>
      </c>
      <c r="B20" s="205" t="s">
        <v>299</v>
      </c>
      <c r="C20" s="199">
        <f t="shared" si="3"/>
        <v>54899</v>
      </c>
      <c r="D20" s="199">
        <f>D31</f>
        <v>36694</v>
      </c>
      <c r="E20" s="199">
        <f>SUM(E21:E31)</f>
        <v>18205</v>
      </c>
      <c r="F20" s="199">
        <f t="shared" ref="F20:N20" si="9">SUM(F21:F33)</f>
        <v>0</v>
      </c>
      <c r="G20" s="199">
        <f t="shared" si="9"/>
        <v>0</v>
      </c>
      <c r="H20" s="199">
        <f t="shared" si="9"/>
        <v>0</v>
      </c>
      <c r="I20" s="199">
        <f t="shared" si="9"/>
        <v>0</v>
      </c>
      <c r="J20" s="199">
        <f t="shared" si="9"/>
        <v>0</v>
      </c>
      <c r="K20" s="199">
        <f t="shared" si="9"/>
        <v>0</v>
      </c>
      <c r="L20" s="199">
        <f t="shared" si="9"/>
        <v>4568</v>
      </c>
      <c r="M20" s="199">
        <f t="shared" si="9"/>
        <v>0</v>
      </c>
      <c r="N20" s="199">
        <f t="shared" si="9"/>
        <v>1784</v>
      </c>
      <c r="O20" s="199">
        <f t="shared" si="5"/>
        <v>48963</v>
      </c>
      <c r="P20" s="199">
        <f t="shared" si="6"/>
        <v>32047</v>
      </c>
      <c r="Q20" s="199">
        <f t="shared" si="7"/>
        <v>16916</v>
      </c>
      <c r="R20" s="199">
        <f>S20+T20</f>
        <v>32047</v>
      </c>
      <c r="S20" s="199">
        <f>S31</f>
        <v>32047</v>
      </c>
      <c r="T20" s="199"/>
      <c r="U20" s="199">
        <f t="shared" si="8"/>
        <v>16916</v>
      </c>
      <c r="V20" s="199">
        <f t="shared" ref="V20:AE20" si="10">SUM(V21:V33)</f>
        <v>16916</v>
      </c>
      <c r="W20" s="199">
        <f t="shared" si="10"/>
        <v>0</v>
      </c>
      <c r="X20" s="199">
        <f t="shared" si="10"/>
        <v>0</v>
      </c>
      <c r="Y20" s="199">
        <f t="shared" si="10"/>
        <v>0</v>
      </c>
      <c r="Z20" s="199">
        <f t="shared" si="10"/>
        <v>0</v>
      </c>
      <c r="AA20" s="199">
        <f t="shared" si="10"/>
        <v>0</v>
      </c>
      <c r="AB20" s="199">
        <f t="shared" si="10"/>
        <v>0</v>
      </c>
      <c r="AC20" s="199">
        <f t="shared" si="10"/>
        <v>5300</v>
      </c>
      <c r="AD20" s="199">
        <f t="shared" si="10"/>
        <v>0</v>
      </c>
      <c r="AE20" s="199">
        <f t="shared" si="10"/>
        <v>1632</v>
      </c>
      <c r="AF20" s="199"/>
      <c r="AG20" s="199"/>
      <c r="AH20" s="199"/>
      <c r="AI20" s="199"/>
    </row>
    <row r="21" spans="1:35" hidden="1" x14ac:dyDescent="0.25">
      <c r="A21" s="193" t="s">
        <v>300</v>
      </c>
      <c r="B21" s="206" t="s">
        <v>301</v>
      </c>
      <c r="C21" s="199">
        <f t="shared" si="3"/>
        <v>1175</v>
      </c>
      <c r="D21" s="201"/>
      <c r="E21" s="201">
        <v>1175</v>
      </c>
      <c r="F21" s="201"/>
      <c r="G21" s="201"/>
      <c r="H21" s="201"/>
      <c r="I21" s="201"/>
      <c r="J21" s="201"/>
      <c r="K21" s="201"/>
      <c r="L21" s="201">
        <v>90</v>
      </c>
      <c r="M21" s="201"/>
      <c r="N21" s="201"/>
      <c r="O21" s="199">
        <f t="shared" si="5"/>
        <v>0</v>
      </c>
      <c r="P21" s="199">
        <f t="shared" si="6"/>
        <v>0</v>
      </c>
      <c r="Q21" s="199">
        <f t="shared" si="7"/>
        <v>0</v>
      </c>
      <c r="R21" s="196"/>
      <c r="S21" s="201"/>
      <c r="T21" s="201"/>
      <c r="U21" s="199">
        <f t="shared" si="8"/>
        <v>0</v>
      </c>
      <c r="V21" s="201"/>
      <c r="W21" s="201"/>
      <c r="X21" s="201"/>
      <c r="Y21" s="201"/>
      <c r="Z21" s="201"/>
      <c r="AA21" s="201"/>
      <c r="AB21" s="201"/>
      <c r="AC21" s="201">
        <v>80</v>
      </c>
      <c r="AD21" s="201"/>
      <c r="AE21" s="201"/>
      <c r="AF21" s="201"/>
      <c r="AG21" s="199"/>
      <c r="AH21" s="199"/>
      <c r="AI21" s="199"/>
    </row>
    <row r="22" spans="1:35" hidden="1" x14ac:dyDescent="0.25">
      <c r="A22" s="193" t="s">
        <v>302</v>
      </c>
      <c r="B22" s="206" t="s">
        <v>303</v>
      </c>
      <c r="C22" s="199">
        <f t="shared" si="3"/>
        <v>0</v>
      </c>
      <c r="D22" s="201"/>
      <c r="E22" s="201">
        <f t="shared" ref="E22:E33" si="11">SUM(F22:N22)</f>
        <v>0</v>
      </c>
      <c r="F22" s="201"/>
      <c r="G22" s="201"/>
      <c r="H22" s="201"/>
      <c r="I22" s="201"/>
      <c r="J22" s="201"/>
      <c r="K22" s="201"/>
      <c r="L22" s="201"/>
      <c r="M22" s="201"/>
      <c r="N22" s="201"/>
      <c r="O22" s="199">
        <f t="shared" si="5"/>
        <v>0</v>
      </c>
      <c r="P22" s="199">
        <f t="shared" si="6"/>
        <v>0</v>
      </c>
      <c r="Q22" s="199">
        <f t="shared" si="7"/>
        <v>0</v>
      </c>
      <c r="R22" s="196"/>
      <c r="S22" s="201"/>
      <c r="T22" s="201"/>
      <c r="U22" s="199">
        <f t="shared" si="8"/>
        <v>0</v>
      </c>
      <c r="V22" s="201">
        <f t="shared" ref="V22:V33" si="12">SUM(W22:AE22)</f>
        <v>0</v>
      </c>
      <c r="W22" s="201"/>
      <c r="X22" s="201"/>
      <c r="Y22" s="201"/>
      <c r="Z22" s="201"/>
      <c r="AA22" s="201"/>
      <c r="AB22" s="201"/>
      <c r="AC22" s="201"/>
      <c r="AD22" s="201"/>
      <c r="AE22" s="201"/>
      <c r="AF22" s="201"/>
      <c r="AG22" s="199"/>
      <c r="AH22" s="199"/>
      <c r="AI22" s="199"/>
    </row>
    <row r="23" spans="1:35" ht="25.5" hidden="1" x14ac:dyDescent="0.25">
      <c r="A23" s="193" t="s">
        <v>304</v>
      </c>
      <c r="B23" s="206" t="s">
        <v>305</v>
      </c>
      <c r="C23" s="199">
        <f t="shared" si="3"/>
        <v>0</v>
      </c>
      <c r="D23" s="201"/>
      <c r="E23" s="201"/>
      <c r="F23" s="201"/>
      <c r="G23" s="201"/>
      <c r="H23" s="201"/>
      <c r="I23" s="201"/>
      <c r="J23" s="201"/>
      <c r="K23" s="201"/>
      <c r="L23" s="201">
        <v>1000</v>
      </c>
      <c r="M23" s="201"/>
      <c r="N23" s="201"/>
      <c r="O23" s="199">
        <f t="shared" si="5"/>
        <v>0</v>
      </c>
      <c r="P23" s="199">
        <f t="shared" si="6"/>
        <v>0</v>
      </c>
      <c r="Q23" s="199">
        <f t="shared" si="7"/>
        <v>0</v>
      </c>
      <c r="R23" s="196"/>
      <c r="S23" s="201"/>
      <c r="T23" s="201"/>
      <c r="U23" s="199">
        <f t="shared" si="8"/>
        <v>0</v>
      </c>
      <c r="V23" s="201"/>
      <c r="W23" s="201"/>
      <c r="X23" s="201"/>
      <c r="Y23" s="201"/>
      <c r="Z23" s="201"/>
      <c r="AA23" s="201"/>
      <c r="AB23" s="201"/>
      <c r="AC23" s="201">
        <v>1000</v>
      </c>
      <c r="AD23" s="201"/>
      <c r="AE23" s="201"/>
      <c r="AF23" s="201"/>
      <c r="AG23" s="199"/>
      <c r="AH23" s="199"/>
      <c r="AI23" s="199"/>
    </row>
    <row r="24" spans="1:35" hidden="1" x14ac:dyDescent="0.25">
      <c r="A24" s="193" t="s">
        <v>306</v>
      </c>
      <c r="B24" s="206" t="s">
        <v>307</v>
      </c>
      <c r="C24" s="199">
        <f t="shared" si="3"/>
        <v>3700</v>
      </c>
      <c r="D24" s="201"/>
      <c r="E24" s="201">
        <v>3700</v>
      </c>
      <c r="F24" s="201"/>
      <c r="G24" s="201"/>
      <c r="H24" s="201"/>
      <c r="I24" s="201"/>
      <c r="J24" s="201"/>
      <c r="K24" s="201"/>
      <c r="L24" s="201">
        <v>2000</v>
      </c>
      <c r="M24" s="201"/>
      <c r="N24" s="201"/>
      <c r="O24" s="199">
        <f t="shared" si="5"/>
        <v>0</v>
      </c>
      <c r="P24" s="199">
        <f t="shared" si="6"/>
        <v>0</v>
      </c>
      <c r="Q24" s="199">
        <f t="shared" si="7"/>
        <v>0</v>
      </c>
      <c r="R24" s="196"/>
      <c r="S24" s="201"/>
      <c r="T24" s="201"/>
      <c r="U24" s="199">
        <f t="shared" si="8"/>
        <v>0</v>
      </c>
      <c r="V24" s="201"/>
      <c r="W24" s="201"/>
      <c r="X24" s="201"/>
      <c r="Y24" s="201"/>
      <c r="Z24" s="201"/>
      <c r="AA24" s="201"/>
      <c r="AB24" s="201"/>
      <c r="AC24" s="201">
        <v>2478</v>
      </c>
      <c r="AD24" s="201"/>
      <c r="AE24" s="201"/>
      <c r="AF24" s="201"/>
      <c r="AG24" s="199"/>
      <c r="AH24" s="199"/>
      <c r="AI24" s="199"/>
    </row>
    <row r="25" spans="1:35" hidden="1" x14ac:dyDescent="0.25">
      <c r="A25" s="193" t="s">
        <v>308</v>
      </c>
      <c r="B25" s="206" t="s">
        <v>309</v>
      </c>
      <c r="C25" s="199">
        <f t="shared" si="3"/>
        <v>0</v>
      </c>
      <c r="D25" s="201"/>
      <c r="E25" s="201">
        <f t="shared" si="11"/>
        <v>0</v>
      </c>
      <c r="F25" s="201"/>
      <c r="G25" s="201"/>
      <c r="H25" s="201"/>
      <c r="I25" s="201"/>
      <c r="J25" s="201"/>
      <c r="K25" s="201"/>
      <c r="L25" s="201"/>
      <c r="M25" s="201"/>
      <c r="N25" s="201"/>
      <c r="O25" s="199">
        <f t="shared" si="5"/>
        <v>0</v>
      </c>
      <c r="P25" s="199">
        <f t="shared" si="6"/>
        <v>0</v>
      </c>
      <c r="Q25" s="199">
        <f t="shared" si="7"/>
        <v>0</v>
      </c>
      <c r="R25" s="196"/>
      <c r="S25" s="201"/>
      <c r="T25" s="201"/>
      <c r="U25" s="199">
        <f t="shared" si="8"/>
        <v>0</v>
      </c>
      <c r="V25" s="201">
        <f t="shared" si="12"/>
        <v>0</v>
      </c>
      <c r="W25" s="201"/>
      <c r="X25" s="201"/>
      <c r="Y25" s="201"/>
      <c r="Z25" s="201"/>
      <c r="AA25" s="201"/>
      <c r="AB25" s="201"/>
      <c r="AC25" s="201"/>
      <c r="AD25" s="201"/>
      <c r="AE25" s="201"/>
      <c r="AF25" s="201"/>
      <c r="AG25" s="199"/>
      <c r="AH25" s="199"/>
      <c r="AI25" s="199"/>
    </row>
    <row r="26" spans="1:35" hidden="1" x14ac:dyDescent="0.25">
      <c r="A26" s="193" t="s">
        <v>310</v>
      </c>
      <c r="B26" s="206" t="s">
        <v>311</v>
      </c>
      <c r="C26" s="199">
        <f t="shared" si="3"/>
        <v>11082</v>
      </c>
      <c r="D26" s="201"/>
      <c r="E26" s="201">
        <v>11082</v>
      </c>
      <c r="F26" s="201"/>
      <c r="G26" s="201"/>
      <c r="H26" s="201"/>
      <c r="I26" s="201"/>
      <c r="J26" s="201"/>
      <c r="K26" s="201"/>
      <c r="L26" s="201">
        <v>110</v>
      </c>
      <c r="M26" s="201"/>
      <c r="N26" s="201">
        <v>1784</v>
      </c>
      <c r="O26" s="199">
        <f t="shared" si="5"/>
        <v>0</v>
      </c>
      <c r="P26" s="199">
        <f t="shared" si="6"/>
        <v>0</v>
      </c>
      <c r="Q26" s="199">
        <f t="shared" si="7"/>
        <v>0</v>
      </c>
      <c r="R26" s="196"/>
      <c r="S26" s="201"/>
      <c r="T26" s="201"/>
      <c r="U26" s="199">
        <f t="shared" si="8"/>
        <v>0</v>
      </c>
      <c r="V26" s="201"/>
      <c r="W26" s="201"/>
      <c r="X26" s="201"/>
      <c r="Y26" s="201"/>
      <c r="Z26" s="201"/>
      <c r="AA26" s="201"/>
      <c r="AB26" s="201"/>
      <c r="AC26" s="201">
        <v>79</v>
      </c>
      <c r="AD26" s="201"/>
      <c r="AE26" s="201">
        <v>1632</v>
      </c>
      <c r="AF26" s="201"/>
      <c r="AG26" s="199"/>
      <c r="AH26" s="199"/>
      <c r="AI26" s="199"/>
    </row>
    <row r="27" spans="1:35" ht="25.5" hidden="1" x14ac:dyDescent="0.25">
      <c r="A27" s="193" t="s">
        <v>312</v>
      </c>
      <c r="B27" s="206" t="s">
        <v>313</v>
      </c>
      <c r="C27" s="199">
        <f t="shared" si="3"/>
        <v>700</v>
      </c>
      <c r="D27" s="201"/>
      <c r="E27" s="201">
        <v>700</v>
      </c>
      <c r="F27" s="201"/>
      <c r="G27" s="201"/>
      <c r="H27" s="201"/>
      <c r="I27" s="201"/>
      <c r="J27" s="201"/>
      <c r="K27" s="201"/>
      <c r="L27" s="201">
        <v>891</v>
      </c>
      <c r="M27" s="201"/>
      <c r="N27" s="201"/>
      <c r="O27" s="199">
        <f t="shared" si="5"/>
        <v>0</v>
      </c>
      <c r="P27" s="199">
        <f t="shared" si="6"/>
        <v>0</v>
      </c>
      <c r="Q27" s="199">
        <f t="shared" si="7"/>
        <v>0</v>
      </c>
      <c r="R27" s="196"/>
      <c r="S27" s="201"/>
      <c r="T27" s="201"/>
      <c r="U27" s="199">
        <f t="shared" si="8"/>
        <v>0</v>
      </c>
      <c r="V27" s="201"/>
      <c r="W27" s="201"/>
      <c r="X27" s="201"/>
      <c r="Y27" s="201"/>
      <c r="Z27" s="201"/>
      <c r="AA27" s="201"/>
      <c r="AB27" s="201"/>
      <c r="AC27" s="201">
        <v>1261</v>
      </c>
      <c r="AD27" s="201"/>
      <c r="AE27" s="201"/>
      <c r="AF27" s="201"/>
      <c r="AG27" s="199"/>
      <c r="AH27" s="199"/>
      <c r="AI27" s="199"/>
    </row>
    <row r="28" spans="1:35" ht="25.5" hidden="1" x14ac:dyDescent="0.25">
      <c r="A28" s="193" t="s">
        <v>314</v>
      </c>
      <c r="B28" s="206" t="s">
        <v>315</v>
      </c>
      <c r="C28" s="199">
        <f t="shared" si="3"/>
        <v>1100</v>
      </c>
      <c r="D28" s="201"/>
      <c r="E28" s="201">
        <v>1100</v>
      </c>
      <c r="F28" s="201"/>
      <c r="G28" s="201"/>
      <c r="H28" s="201"/>
      <c r="I28" s="201"/>
      <c r="J28" s="201"/>
      <c r="K28" s="201"/>
      <c r="L28" s="201">
        <v>200</v>
      </c>
      <c r="M28" s="201"/>
      <c r="N28" s="201"/>
      <c r="O28" s="199">
        <f t="shared" si="5"/>
        <v>0</v>
      </c>
      <c r="P28" s="199">
        <f t="shared" si="6"/>
        <v>0</v>
      </c>
      <c r="Q28" s="199">
        <f t="shared" si="7"/>
        <v>0</v>
      </c>
      <c r="R28" s="196"/>
      <c r="S28" s="201"/>
      <c r="T28" s="201"/>
      <c r="U28" s="199">
        <f t="shared" si="8"/>
        <v>0</v>
      </c>
      <c r="V28" s="201"/>
      <c r="W28" s="201"/>
      <c r="X28" s="201"/>
      <c r="Y28" s="201"/>
      <c r="Z28" s="201"/>
      <c r="AA28" s="201"/>
      <c r="AB28" s="201"/>
      <c r="AC28" s="201">
        <v>125</v>
      </c>
      <c r="AD28" s="201"/>
      <c r="AE28" s="201"/>
      <c r="AF28" s="201"/>
      <c r="AG28" s="199"/>
      <c r="AH28" s="199"/>
      <c r="AI28" s="199"/>
    </row>
    <row r="29" spans="1:35" hidden="1" x14ac:dyDescent="0.25">
      <c r="A29" s="193" t="s">
        <v>316</v>
      </c>
      <c r="B29" s="206" t="s">
        <v>317</v>
      </c>
      <c r="C29" s="199">
        <f t="shared" si="3"/>
        <v>0</v>
      </c>
      <c r="D29" s="201"/>
      <c r="E29" s="201">
        <f t="shared" si="11"/>
        <v>0</v>
      </c>
      <c r="F29" s="201"/>
      <c r="G29" s="201"/>
      <c r="H29" s="201"/>
      <c r="I29" s="201"/>
      <c r="J29" s="201"/>
      <c r="K29" s="201"/>
      <c r="L29" s="201"/>
      <c r="M29" s="201"/>
      <c r="N29" s="201"/>
      <c r="O29" s="199">
        <f t="shared" si="5"/>
        <v>0</v>
      </c>
      <c r="P29" s="199">
        <f t="shared" si="6"/>
        <v>0</v>
      </c>
      <c r="Q29" s="199">
        <f t="shared" si="7"/>
        <v>0</v>
      </c>
      <c r="R29" s="196"/>
      <c r="S29" s="201"/>
      <c r="T29" s="201"/>
      <c r="U29" s="199">
        <f t="shared" si="8"/>
        <v>0</v>
      </c>
      <c r="V29" s="201">
        <f t="shared" si="12"/>
        <v>0</v>
      </c>
      <c r="W29" s="201"/>
      <c r="X29" s="201"/>
      <c r="Y29" s="201"/>
      <c r="Z29" s="201"/>
      <c r="AA29" s="201"/>
      <c r="AB29" s="201"/>
      <c r="AC29" s="201"/>
      <c r="AD29" s="201"/>
      <c r="AE29" s="201"/>
      <c r="AF29" s="201"/>
      <c r="AG29" s="199"/>
      <c r="AH29" s="199"/>
      <c r="AI29" s="199"/>
    </row>
    <row r="30" spans="1:35" hidden="1" x14ac:dyDescent="0.25">
      <c r="A30" s="193" t="s">
        <v>318</v>
      </c>
      <c r="B30" s="206" t="s">
        <v>319</v>
      </c>
      <c r="C30" s="199">
        <f t="shared" si="3"/>
        <v>0</v>
      </c>
      <c r="D30" s="201"/>
      <c r="E30" s="201">
        <f t="shared" si="11"/>
        <v>0</v>
      </c>
      <c r="F30" s="201"/>
      <c r="G30" s="201"/>
      <c r="H30" s="201"/>
      <c r="I30" s="201"/>
      <c r="J30" s="201"/>
      <c r="K30" s="201"/>
      <c r="L30" s="201"/>
      <c r="M30" s="201"/>
      <c r="N30" s="201"/>
      <c r="O30" s="199">
        <f t="shared" si="5"/>
        <v>0</v>
      </c>
      <c r="P30" s="199">
        <f t="shared" si="6"/>
        <v>0</v>
      </c>
      <c r="Q30" s="199">
        <f t="shared" si="7"/>
        <v>0</v>
      </c>
      <c r="R30" s="196"/>
      <c r="S30" s="201"/>
      <c r="T30" s="201"/>
      <c r="U30" s="199">
        <f t="shared" si="8"/>
        <v>0</v>
      </c>
      <c r="V30" s="201">
        <f t="shared" si="12"/>
        <v>0</v>
      </c>
      <c r="W30" s="201"/>
      <c r="X30" s="201"/>
      <c r="Y30" s="201"/>
      <c r="Z30" s="201"/>
      <c r="AA30" s="201"/>
      <c r="AB30" s="201"/>
      <c r="AC30" s="201"/>
      <c r="AD30" s="201"/>
      <c r="AE30" s="201"/>
      <c r="AF30" s="201"/>
      <c r="AG30" s="199"/>
      <c r="AH30" s="199"/>
      <c r="AI30" s="199"/>
    </row>
    <row r="31" spans="1:35" ht="25.5" hidden="1" x14ac:dyDescent="0.25">
      <c r="A31" s="193" t="s">
        <v>320</v>
      </c>
      <c r="B31" s="206" t="s">
        <v>321</v>
      </c>
      <c r="C31" s="199">
        <f t="shared" si="3"/>
        <v>37142</v>
      </c>
      <c r="D31" s="201">
        <v>36694</v>
      </c>
      <c r="E31" s="201">
        <v>448</v>
      </c>
      <c r="F31" s="201"/>
      <c r="G31" s="201"/>
      <c r="H31" s="201"/>
      <c r="I31" s="201"/>
      <c r="J31" s="201"/>
      <c r="K31" s="201"/>
      <c r="L31" s="201">
        <v>277</v>
      </c>
      <c r="M31" s="201"/>
      <c r="N31" s="201"/>
      <c r="O31" s="199">
        <f t="shared" si="5"/>
        <v>48963</v>
      </c>
      <c r="P31" s="199">
        <f>R31</f>
        <v>32047</v>
      </c>
      <c r="Q31" s="199">
        <f t="shared" si="7"/>
        <v>16916</v>
      </c>
      <c r="R31" s="199">
        <f>S31+T31</f>
        <v>32047</v>
      </c>
      <c r="S31" s="201">
        <v>32047</v>
      </c>
      <c r="T31" s="201"/>
      <c r="U31" s="199">
        <f t="shared" si="8"/>
        <v>16916</v>
      </c>
      <c r="V31" s="201">
        <v>16916</v>
      </c>
      <c r="W31" s="201"/>
      <c r="X31" s="201"/>
      <c r="Y31" s="201"/>
      <c r="Z31" s="201"/>
      <c r="AA31" s="201"/>
      <c r="AB31" s="201"/>
      <c r="AC31" s="201">
        <v>277</v>
      </c>
      <c r="AD31" s="201"/>
      <c r="AE31" s="201"/>
      <c r="AF31" s="201"/>
      <c r="AG31" s="199"/>
      <c r="AH31" s="199"/>
      <c r="AI31" s="199"/>
    </row>
    <row r="32" spans="1:35" hidden="1" x14ac:dyDescent="0.25">
      <c r="A32" s="193" t="s">
        <v>322</v>
      </c>
      <c r="B32" s="206" t="s">
        <v>323</v>
      </c>
      <c r="C32" s="199">
        <f t="shared" si="3"/>
        <v>0</v>
      </c>
      <c r="D32" s="201"/>
      <c r="E32" s="201">
        <f t="shared" si="11"/>
        <v>0</v>
      </c>
      <c r="F32" s="201"/>
      <c r="G32" s="201"/>
      <c r="H32" s="201"/>
      <c r="I32" s="201"/>
      <c r="J32" s="201"/>
      <c r="K32" s="201"/>
      <c r="L32" s="201"/>
      <c r="M32" s="201"/>
      <c r="N32" s="201"/>
      <c r="O32" s="199">
        <f t="shared" si="5"/>
        <v>0</v>
      </c>
      <c r="P32" s="199">
        <f t="shared" si="6"/>
        <v>0</v>
      </c>
      <c r="Q32" s="199">
        <f t="shared" si="7"/>
        <v>0</v>
      </c>
      <c r="R32" s="201"/>
      <c r="S32" s="201"/>
      <c r="T32" s="201"/>
      <c r="U32" s="199">
        <f t="shared" si="8"/>
        <v>0</v>
      </c>
      <c r="V32" s="201">
        <f t="shared" si="12"/>
        <v>0</v>
      </c>
      <c r="W32" s="201"/>
      <c r="X32" s="201"/>
      <c r="Y32" s="201"/>
      <c r="Z32" s="201"/>
      <c r="AA32" s="201"/>
      <c r="AB32" s="201"/>
      <c r="AC32" s="201"/>
      <c r="AD32" s="201"/>
      <c r="AE32" s="201"/>
      <c r="AF32" s="201"/>
      <c r="AG32" s="199"/>
      <c r="AH32" s="199"/>
      <c r="AI32" s="199"/>
    </row>
    <row r="33" spans="1:35" hidden="1" x14ac:dyDescent="0.25">
      <c r="A33" s="193" t="s">
        <v>324</v>
      </c>
      <c r="B33" s="206" t="s">
        <v>325</v>
      </c>
      <c r="C33" s="199">
        <f t="shared" si="3"/>
        <v>0</v>
      </c>
      <c r="D33" s="201"/>
      <c r="E33" s="201">
        <f t="shared" si="11"/>
        <v>0</v>
      </c>
      <c r="F33" s="201"/>
      <c r="G33" s="201"/>
      <c r="H33" s="201"/>
      <c r="I33" s="201"/>
      <c r="J33" s="201"/>
      <c r="K33" s="201"/>
      <c r="L33" s="201"/>
      <c r="M33" s="201"/>
      <c r="N33" s="201"/>
      <c r="O33" s="199">
        <f t="shared" si="5"/>
        <v>0</v>
      </c>
      <c r="P33" s="199">
        <f t="shared" si="6"/>
        <v>0</v>
      </c>
      <c r="Q33" s="199">
        <f t="shared" si="7"/>
        <v>0</v>
      </c>
      <c r="R33" s="201"/>
      <c r="S33" s="201"/>
      <c r="T33" s="201"/>
      <c r="U33" s="199">
        <f t="shared" si="8"/>
        <v>0</v>
      </c>
      <c r="V33" s="201">
        <f t="shared" si="12"/>
        <v>0</v>
      </c>
      <c r="W33" s="201"/>
      <c r="X33" s="201"/>
      <c r="Y33" s="201"/>
      <c r="Z33" s="201"/>
      <c r="AA33" s="201"/>
      <c r="AB33" s="201"/>
      <c r="AC33" s="201"/>
      <c r="AD33" s="201"/>
      <c r="AE33" s="201"/>
      <c r="AF33" s="201"/>
      <c r="AG33" s="199"/>
      <c r="AH33" s="199"/>
      <c r="AI33" s="199"/>
    </row>
    <row r="34" spans="1:35" hidden="1" x14ac:dyDescent="0.25">
      <c r="A34" s="193">
        <v>4</v>
      </c>
      <c r="B34" s="205" t="s">
        <v>326</v>
      </c>
      <c r="C34" s="199">
        <f t="shared" si="3"/>
        <v>0</v>
      </c>
      <c r="D34" s="199"/>
      <c r="E34" s="199">
        <f t="shared" ref="E34:AE34" si="13">SUM(E35:E36)</f>
        <v>0</v>
      </c>
      <c r="F34" s="199">
        <f t="shared" si="13"/>
        <v>0</v>
      </c>
      <c r="G34" s="199">
        <f t="shared" si="13"/>
        <v>0</v>
      </c>
      <c r="H34" s="199">
        <f t="shared" si="13"/>
        <v>0</v>
      </c>
      <c r="I34" s="199">
        <f t="shared" si="13"/>
        <v>0</v>
      </c>
      <c r="J34" s="199">
        <f t="shared" si="13"/>
        <v>0</v>
      </c>
      <c r="K34" s="199">
        <f t="shared" si="13"/>
        <v>0</v>
      </c>
      <c r="L34" s="199">
        <f t="shared" si="13"/>
        <v>0</v>
      </c>
      <c r="M34" s="199">
        <f t="shared" si="13"/>
        <v>0</v>
      </c>
      <c r="N34" s="199">
        <f t="shared" si="13"/>
        <v>0</v>
      </c>
      <c r="O34" s="199">
        <f t="shared" si="5"/>
        <v>0</v>
      </c>
      <c r="P34" s="199">
        <f t="shared" si="6"/>
        <v>0</v>
      </c>
      <c r="Q34" s="199">
        <f t="shared" si="7"/>
        <v>0</v>
      </c>
      <c r="R34" s="199"/>
      <c r="S34" s="199"/>
      <c r="T34" s="199"/>
      <c r="U34" s="199">
        <f t="shared" si="8"/>
        <v>0</v>
      </c>
      <c r="V34" s="199">
        <f t="shared" si="13"/>
        <v>0</v>
      </c>
      <c r="W34" s="199">
        <f t="shared" si="13"/>
        <v>0</v>
      </c>
      <c r="X34" s="199">
        <f t="shared" si="13"/>
        <v>0</v>
      </c>
      <c r="Y34" s="199">
        <f t="shared" si="13"/>
        <v>0</v>
      </c>
      <c r="Z34" s="199">
        <f t="shared" si="13"/>
        <v>0</v>
      </c>
      <c r="AA34" s="199">
        <f t="shared" si="13"/>
        <v>0</v>
      </c>
      <c r="AB34" s="199">
        <f t="shared" si="13"/>
        <v>0</v>
      </c>
      <c r="AC34" s="199">
        <f t="shared" si="13"/>
        <v>0</v>
      </c>
      <c r="AD34" s="199">
        <f t="shared" si="13"/>
        <v>0</v>
      </c>
      <c r="AE34" s="199">
        <f t="shared" si="13"/>
        <v>0</v>
      </c>
      <c r="AF34" s="199"/>
      <c r="AG34" s="199"/>
      <c r="AH34" s="199"/>
      <c r="AI34" s="199"/>
    </row>
    <row r="35" spans="1:35" hidden="1" x14ac:dyDescent="0.25">
      <c r="A35" s="193" t="s">
        <v>327</v>
      </c>
      <c r="B35" s="206" t="s">
        <v>328</v>
      </c>
      <c r="C35" s="199">
        <f t="shared" si="3"/>
        <v>0</v>
      </c>
      <c r="D35" s="201"/>
      <c r="E35" s="201">
        <f>SUM(F35:N35)</f>
        <v>0</v>
      </c>
      <c r="F35" s="201"/>
      <c r="G35" s="201"/>
      <c r="H35" s="201"/>
      <c r="I35" s="201"/>
      <c r="J35" s="201"/>
      <c r="K35" s="201"/>
      <c r="L35" s="201"/>
      <c r="M35" s="201"/>
      <c r="N35" s="201"/>
      <c r="O35" s="199">
        <f t="shared" si="5"/>
        <v>0</v>
      </c>
      <c r="P35" s="199">
        <f t="shared" si="6"/>
        <v>0</v>
      </c>
      <c r="Q35" s="199">
        <f t="shared" si="7"/>
        <v>0</v>
      </c>
      <c r="R35" s="201"/>
      <c r="S35" s="201"/>
      <c r="T35" s="201"/>
      <c r="U35" s="199">
        <f t="shared" si="8"/>
        <v>0</v>
      </c>
      <c r="V35" s="201">
        <f>SUM(W35:AE35)</f>
        <v>0</v>
      </c>
      <c r="W35" s="201"/>
      <c r="X35" s="201"/>
      <c r="Y35" s="201"/>
      <c r="Z35" s="201"/>
      <c r="AA35" s="201"/>
      <c r="AB35" s="201"/>
      <c r="AC35" s="201"/>
      <c r="AD35" s="201"/>
      <c r="AE35" s="201"/>
      <c r="AF35" s="201"/>
      <c r="AG35" s="199"/>
      <c r="AH35" s="199"/>
      <c r="AI35" s="199"/>
    </row>
    <row r="36" spans="1:35" hidden="1" x14ac:dyDescent="0.25">
      <c r="A36" s="193" t="s">
        <v>329</v>
      </c>
      <c r="B36" s="206" t="s">
        <v>330</v>
      </c>
      <c r="C36" s="199">
        <f t="shared" si="3"/>
        <v>0</v>
      </c>
      <c r="D36" s="201"/>
      <c r="E36" s="201">
        <f>SUM(F36:N36)</f>
        <v>0</v>
      </c>
      <c r="F36" s="201"/>
      <c r="G36" s="201"/>
      <c r="H36" s="201"/>
      <c r="I36" s="201"/>
      <c r="J36" s="201"/>
      <c r="K36" s="201"/>
      <c r="L36" s="201"/>
      <c r="M36" s="201"/>
      <c r="N36" s="201"/>
      <c r="O36" s="199">
        <f t="shared" si="5"/>
        <v>0</v>
      </c>
      <c r="P36" s="199">
        <f t="shared" si="6"/>
        <v>0</v>
      </c>
      <c r="Q36" s="199">
        <f t="shared" si="7"/>
        <v>0</v>
      </c>
      <c r="R36" s="201"/>
      <c r="S36" s="201"/>
      <c r="T36" s="201"/>
      <c r="U36" s="199">
        <f t="shared" si="8"/>
        <v>0</v>
      </c>
      <c r="V36" s="201">
        <f>SUM(W36:AE36)</f>
        <v>0</v>
      </c>
      <c r="W36" s="201"/>
      <c r="X36" s="201"/>
      <c r="Y36" s="201"/>
      <c r="Z36" s="201"/>
      <c r="AA36" s="201"/>
      <c r="AB36" s="201"/>
      <c r="AC36" s="201"/>
      <c r="AD36" s="201"/>
      <c r="AE36" s="201"/>
      <c r="AF36" s="201"/>
      <c r="AG36" s="199"/>
      <c r="AH36" s="199"/>
      <c r="AI36" s="199"/>
    </row>
    <row r="37" spans="1:35" hidden="1" x14ac:dyDescent="0.25">
      <c r="A37" s="193">
        <v>5</v>
      </c>
      <c r="B37" s="205" t="s">
        <v>198</v>
      </c>
      <c r="C37" s="199">
        <f t="shared" si="3"/>
        <v>0</v>
      </c>
      <c r="D37" s="199"/>
      <c r="E37" s="199">
        <f t="shared" ref="E37:AE37" si="14">SUM(E38:E40)</f>
        <v>0</v>
      </c>
      <c r="F37" s="199">
        <f t="shared" si="14"/>
        <v>0</v>
      </c>
      <c r="G37" s="199">
        <f t="shared" si="14"/>
        <v>0</v>
      </c>
      <c r="H37" s="199">
        <f t="shared" si="14"/>
        <v>0</v>
      </c>
      <c r="I37" s="199">
        <f t="shared" si="14"/>
        <v>0</v>
      </c>
      <c r="J37" s="199">
        <f t="shared" si="14"/>
        <v>0</v>
      </c>
      <c r="K37" s="199">
        <f t="shared" si="14"/>
        <v>0</v>
      </c>
      <c r="L37" s="199">
        <f t="shared" si="14"/>
        <v>0</v>
      </c>
      <c r="M37" s="199">
        <f t="shared" si="14"/>
        <v>0</v>
      </c>
      <c r="N37" s="199">
        <f t="shared" si="14"/>
        <v>0</v>
      </c>
      <c r="O37" s="199">
        <f t="shared" si="5"/>
        <v>0</v>
      </c>
      <c r="P37" s="199">
        <f t="shared" si="6"/>
        <v>0</v>
      </c>
      <c r="Q37" s="199">
        <f t="shared" si="7"/>
        <v>0</v>
      </c>
      <c r="R37" s="199"/>
      <c r="S37" s="199"/>
      <c r="T37" s="199"/>
      <c r="U37" s="199">
        <f t="shared" si="8"/>
        <v>0</v>
      </c>
      <c r="V37" s="199">
        <f t="shared" si="14"/>
        <v>0</v>
      </c>
      <c r="W37" s="199">
        <f t="shared" si="14"/>
        <v>0</v>
      </c>
      <c r="X37" s="199">
        <f t="shared" si="14"/>
        <v>0</v>
      </c>
      <c r="Y37" s="199">
        <f t="shared" si="14"/>
        <v>0</v>
      </c>
      <c r="Z37" s="199">
        <f t="shared" si="14"/>
        <v>0</v>
      </c>
      <c r="AA37" s="199">
        <f t="shared" si="14"/>
        <v>0</v>
      </c>
      <c r="AB37" s="199">
        <f t="shared" si="14"/>
        <v>0</v>
      </c>
      <c r="AC37" s="199">
        <f t="shared" si="14"/>
        <v>0</v>
      </c>
      <c r="AD37" s="199">
        <f t="shared" si="14"/>
        <v>0</v>
      </c>
      <c r="AE37" s="199">
        <f t="shared" si="14"/>
        <v>0</v>
      </c>
      <c r="AF37" s="199"/>
      <c r="AG37" s="199"/>
      <c r="AH37" s="199"/>
      <c r="AI37" s="199"/>
    </row>
    <row r="38" spans="1:35" hidden="1" x14ac:dyDescent="0.25">
      <c r="A38" s="193" t="s">
        <v>331</v>
      </c>
      <c r="B38" s="206" t="s">
        <v>301</v>
      </c>
      <c r="C38" s="199">
        <f t="shared" si="3"/>
        <v>0</v>
      </c>
      <c r="D38" s="201"/>
      <c r="E38" s="201">
        <f>SUM(F38:N38)</f>
        <v>0</v>
      </c>
      <c r="F38" s="201"/>
      <c r="G38" s="201"/>
      <c r="H38" s="201"/>
      <c r="I38" s="201"/>
      <c r="J38" s="201"/>
      <c r="K38" s="201"/>
      <c r="L38" s="201"/>
      <c r="M38" s="201"/>
      <c r="N38" s="201"/>
      <c r="O38" s="199">
        <f t="shared" si="5"/>
        <v>0</v>
      </c>
      <c r="P38" s="199">
        <f t="shared" si="6"/>
        <v>0</v>
      </c>
      <c r="Q38" s="199">
        <f t="shared" si="7"/>
        <v>0</v>
      </c>
      <c r="R38" s="201"/>
      <c r="S38" s="201"/>
      <c r="T38" s="201"/>
      <c r="U38" s="199">
        <f t="shared" si="8"/>
        <v>0</v>
      </c>
      <c r="V38" s="201">
        <f>SUM(W38:AE38)</f>
        <v>0</v>
      </c>
      <c r="W38" s="201"/>
      <c r="X38" s="201"/>
      <c r="Y38" s="201"/>
      <c r="Z38" s="201"/>
      <c r="AA38" s="201"/>
      <c r="AB38" s="201"/>
      <c r="AC38" s="201"/>
      <c r="AD38" s="201"/>
      <c r="AE38" s="201"/>
      <c r="AF38" s="201"/>
      <c r="AG38" s="199"/>
      <c r="AH38" s="199"/>
      <c r="AI38" s="199"/>
    </row>
    <row r="39" spans="1:35" hidden="1" x14ac:dyDescent="0.25">
      <c r="A39" s="193" t="s">
        <v>332</v>
      </c>
      <c r="B39" s="206" t="s">
        <v>333</v>
      </c>
      <c r="C39" s="199">
        <f t="shared" si="3"/>
        <v>0</v>
      </c>
      <c r="D39" s="201"/>
      <c r="E39" s="201">
        <f>SUM(F39:N39)</f>
        <v>0</v>
      </c>
      <c r="F39" s="201"/>
      <c r="G39" s="201"/>
      <c r="H39" s="201"/>
      <c r="I39" s="201"/>
      <c r="J39" s="201"/>
      <c r="K39" s="201"/>
      <c r="L39" s="201"/>
      <c r="M39" s="201"/>
      <c r="N39" s="201"/>
      <c r="O39" s="199">
        <f t="shared" si="5"/>
        <v>0</v>
      </c>
      <c r="P39" s="199">
        <f t="shared" si="6"/>
        <v>0</v>
      </c>
      <c r="Q39" s="199">
        <f t="shared" si="7"/>
        <v>0</v>
      </c>
      <c r="R39" s="201"/>
      <c r="S39" s="201"/>
      <c r="T39" s="201"/>
      <c r="U39" s="199">
        <f t="shared" si="8"/>
        <v>0</v>
      </c>
      <c r="V39" s="201">
        <f>SUM(W39:AE39)</f>
        <v>0</v>
      </c>
      <c r="W39" s="201"/>
      <c r="X39" s="201"/>
      <c r="Y39" s="201"/>
      <c r="Z39" s="201"/>
      <c r="AA39" s="201"/>
      <c r="AB39" s="201"/>
      <c r="AC39" s="201"/>
      <c r="AD39" s="201"/>
      <c r="AE39" s="201"/>
      <c r="AF39" s="201"/>
      <c r="AG39" s="199"/>
      <c r="AH39" s="199"/>
      <c r="AI39" s="199"/>
    </row>
    <row r="40" spans="1:35" hidden="1" x14ac:dyDescent="0.25">
      <c r="A40" s="193" t="s">
        <v>334</v>
      </c>
      <c r="B40" s="206" t="s">
        <v>335</v>
      </c>
      <c r="C40" s="199">
        <f t="shared" si="3"/>
        <v>0</v>
      </c>
      <c r="D40" s="201"/>
      <c r="E40" s="201">
        <f>SUM(F40:N40)</f>
        <v>0</v>
      </c>
      <c r="F40" s="201"/>
      <c r="G40" s="201"/>
      <c r="H40" s="201"/>
      <c r="I40" s="201"/>
      <c r="J40" s="201"/>
      <c r="K40" s="201"/>
      <c r="L40" s="201"/>
      <c r="M40" s="201"/>
      <c r="N40" s="201"/>
      <c r="O40" s="199">
        <f t="shared" si="5"/>
        <v>0</v>
      </c>
      <c r="P40" s="199">
        <f t="shared" si="6"/>
        <v>0</v>
      </c>
      <c r="Q40" s="199">
        <f t="shared" si="7"/>
        <v>0</v>
      </c>
      <c r="R40" s="201"/>
      <c r="S40" s="201"/>
      <c r="T40" s="201"/>
      <c r="U40" s="199">
        <f t="shared" si="8"/>
        <v>0</v>
      </c>
      <c r="V40" s="201">
        <f>SUM(W40:AE40)</f>
        <v>0</v>
      </c>
      <c r="W40" s="201"/>
      <c r="X40" s="201"/>
      <c r="Y40" s="201"/>
      <c r="Z40" s="201"/>
      <c r="AA40" s="201"/>
      <c r="AB40" s="201"/>
      <c r="AC40" s="201"/>
      <c r="AD40" s="201"/>
      <c r="AE40" s="201"/>
      <c r="AF40" s="201"/>
      <c r="AG40" s="199"/>
      <c r="AH40" s="199"/>
      <c r="AI40" s="199"/>
    </row>
    <row r="41" spans="1:35" hidden="1" x14ac:dyDescent="0.25">
      <c r="A41" s="193">
        <v>6</v>
      </c>
      <c r="B41" s="205" t="s">
        <v>336</v>
      </c>
      <c r="C41" s="199">
        <f t="shared" si="3"/>
        <v>0</v>
      </c>
      <c r="D41" s="199"/>
      <c r="E41" s="199">
        <f t="shared" ref="E41:AE41" si="15">SUM(E42:E44)</f>
        <v>0</v>
      </c>
      <c r="F41" s="199">
        <f t="shared" si="15"/>
        <v>0</v>
      </c>
      <c r="G41" s="199">
        <f t="shared" si="15"/>
        <v>0</v>
      </c>
      <c r="H41" s="199">
        <f t="shared" si="15"/>
        <v>0</v>
      </c>
      <c r="I41" s="199">
        <f t="shared" si="15"/>
        <v>0</v>
      </c>
      <c r="J41" s="199">
        <f t="shared" si="15"/>
        <v>0</v>
      </c>
      <c r="K41" s="199">
        <f t="shared" si="15"/>
        <v>0</v>
      </c>
      <c r="L41" s="199">
        <f t="shared" si="15"/>
        <v>0</v>
      </c>
      <c r="M41" s="199">
        <f t="shared" si="15"/>
        <v>0</v>
      </c>
      <c r="N41" s="199">
        <f t="shared" si="15"/>
        <v>0</v>
      </c>
      <c r="O41" s="199">
        <f t="shared" si="5"/>
        <v>0</v>
      </c>
      <c r="P41" s="199">
        <f t="shared" si="6"/>
        <v>0</v>
      </c>
      <c r="Q41" s="199">
        <f t="shared" si="7"/>
        <v>0</v>
      </c>
      <c r="R41" s="199"/>
      <c r="S41" s="199"/>
      <c r="T41" s="199"/>
      <c r="U41" s="199">
        <f t="shared" si="8"/>
        <v>0</v>
      </c>
      <c r="V41" s="199">
        <f t="shared" si="15"/>
        <v>0</v>
      </c>
      <c r="W41" s="199">
        <f t="shared" si="15"/>
        <v>0</v>
      </c>
      <c r="X41" s="199">
        <f t="shared" si="15"/>
        <v>0</v>
      </c>
      <c r="Y41" s="199">
        <f t="shared" si="15"/>
        <v>0</v>
      </c>
      <c r="Z41" s="199">
        <f t="shared" si="15"/>
        <v>0</v>
      </c>
      <c r="AA41" s="199">
        <f t="shared" si="15"/>
        <v>0</v>
      </c>
      <c r="AB41" s="199">
        <f t="shared" si="15"/>
        <v>0</v>
      </c>
      <c r="AC41" s="199">
        <f t="shared" si="15"/>
        <v>0</v>
      </c>
      <c r="AD41" s="199">
        <f t="shared" si="15"/>
        <v>0</v>
      </c>
      <c r="AE41" s="199">
        <f t="shared" si="15"/>
        <v>0</v>
      </c>
      <c r="AF41" s="199"/>
      <c r="AG41" s="199"/>
      <c r="AH41" s="199"/>
      <c r="AI41" s="199"/>
    </row>
    <row r="42" spans="1:35" hidden="1" x14ac:dyDescent="0.25">
      <c r="A42" s="193" t="s">
        <v>337</v>
      </c>
      <c r="B42" s="206" t="s">
        <v>301</v>
      </c>
      <c r="C42" s="199">
        <f t="shared" si="3"/>
        <v>0</v>
      </c>
      <c r="D42" s="201"/>
      <c r="E42" s="201">
        <f>SUM(F42:N42)</f>
        <v>0</v>
      </c>
      <c r="F42" s="201"/>
      <c r="G42" s="201"/>
      <c r="H42" s="201"/>
      <c r="I42" s="201"/>
      <c r="J42" s="201"/>
      <c r="K42" s="201"/>
      <c r="L42" s="201"/>
      <c r="M42" s="201"/>
      <c r="N42" s="201"/>
      <c r="O42" s="199">
        <f t="shared" si="5"/>
        <v>0</v>
      </c>
      <c r="P42" s="199">
        <f t="shared" si="6"/>
        <v>0</v>
      </c>
      <c r="Q42" s="199">
        <f t="shared" si="7"/>
        <v>0</v>
      </c>
      <c r="R42" s="201"/>
      <c r="S42" s="201"/>
      <c r="T42" s="201"/>
      <c r="U42" s="199">
        <f t="shared" si="8"/>
        <v>0</v>
      </c>
      <c r="V42" s="201">
        <f>SUM(W42:AE42)</f>
        <v>0</v>
      </c>
      <c r="W42" s="201"/>
      <c r="X42" s="201"/>
      <c r="Y42" s="201"/>
      <c r="Z42" s="201"/>
      <c r="AA42" s="201"/>
      <c r="AB42" s="201"/>
      <c r="AC42" s="201"/>
      <c r="AD42" s="201"/>
      <c r="AE42" s="201"/>
      <c r="AF42" s="201"/>
      <c r="AG42" s="199"/>
      <c r="AH42" s="199"/>
      <c r="AI42" s="199"/>
    </row>
    <row r="43" spans="1:35" hidden="1" x14ac:dyDescent="0.25">
      <c r="A43" s="193" t="s">
        <v>338</v>
      </c>
      <c r="B43" s="206" t="s">
        <v>339</v>
      </c>
      <c r="C43" s="199">
        <f t="shared" si="3"/>
        <v>0</v>
      </c>
      <c r="D43" s="201"/>
      <c r="E43" s="201">
        <f>SUM(F43:N43)</f>
        <v>0</v>
      </c>
      <c r="F43" s="201"/>
      <c r="G43" s="201"/>
      <c r="H43" s="201"/>
      <c r="I43" s="201"/>
      <c r="J43" s="201"/>
      <c r="K43" s="201"/>
      <c r="L43" s="201"/>
      <c r="M43" s="201"/>
      <c r="N43" s="201"/>
      <c r="O43" s="199">
        <f t="shared" si="5"/>
        <v>0</v>
      </c>
      <c r="P43" s="199">
        <f t="shared" si="6"/>
        <v>0</v>
      </c>
      <c r="Q43" s="199">
        <f t="shared" si="7"/>
        <v>0</v>
      </c>
      <c r="R43" s="201"/>
      <c r="S43" s="201"/>
      <c r="T43" s="201"/>
      <c r="U43" s="199">
        <f t="shared" si="8"/>
        <v>0</v>
      </c>
      <c r="V43" s="201">
        <f>SUM(W43:AE43)</f>
        <v>0</v>
      </c>
      <c r="W43" s="201"/>
      <c r="X43" s="201"/>
      <c r="Y43" s="201"/>
      <c r="Z43" s="201"/>
      <c r="AA43" s="201"/>
      <c r="AB43" s="201"/>
      <c r="AC43" s="201"/>
      <c r="AD43" s="201"/>
      <c r="AE43" s="201"/>
      <c r="AF43" s="201"/>
      <c r="AG43" s="199"/>
      <c r="AH43" s="199"/>
      <c r="AI43" s="199"/>
    </row>
    <row r="44" spans="1:35" ht="25.5" hidden="1" x14ac:dyDescent="0.25">
      <c r="A44" s="193" t="s">
        <v>340</v>
      </c>
      <c r="B44" s="206" t="s">
        <v>341</v>
      </c>
      <c r="C44" s="199">
        <f t="shared" si="3"/>
        <v>0</v>
      </c>
      <c r="D44" s="201"/>
      <c r="E44" s="201">
        <f>SUM(F44:N44)</f>
        <v>0</v>
      </c>
      <c r="F44" s="201"/>
      <c r="G44" s="201"/>
      <c r="H44" s="201"/>
      <c r="I44" s="201"/>
      <c r="J44" s="201"/>
      <c r="K44" s="201"/>
      <c r="L44" s="201"/>
      <c r="M44" s="201"/>
      <c r="N44" s="201"/>
      <c r="O44" s="199">
        <f t="shared" si="5"/>
        <v>0</v>
      </c>
      <c r="P44" s="199">
        <f t="shared" si="6"/>
        <v>0</v>
      </c>
      <c r="Q44" s="199">
        <f t="shared" si="7"/>
        <v>0</v>
      </c>
      <c r="R44" s="201"/>
      <c r="S44" s="201"/>
      <c r="T44" s="201"/>
      <c r="U44" s="199">
        <f t="shared" si="8"/>
        <v>0</v>
      </c>
      <c r="V44" s="201">
        <f>SUM(W44:AE44)</f>
        <v>0</v>
      </c>
      <c r="W44" s="201"/>
      <c r="X44" s="201"/>
      <c r="Y44" s="201"/>
      <c r="Z44" s="201"/>
      <c r="AA44" s="201"/>
      <c r="AB44" s="201"/>
      <c r="AC44" s="201"/>
      <c r="AD44" s="201"/>
      <c r="AE44" s="201"/>
      <c r="AF44" s="201"/>
      <c r="AG44" s="199"/>
      <c r="AH44" s="199"/>
      <c r="AI44" s="199"/>
    </row>
    <row r="45" spans="1:35" hidden="1" x14ac:dyDescent="0.25">
      <c r="A45" s="193">
        <v>7</v>
      </c>
      <c r="B45" s="205" t="s">
        <v>342</v>
      </c>
      <c r="C45" s="199">
        <f t="shared" ref="C45:C105" si="16">D45+E45</f>
        <v>0</v>
      </c>
      <c r="D45" s="199"/>
      <c r="E45" s="199">
        <f t="shared" ref="E45:AE45" si="17">SUM(E46:E46)</f>
        <v>0</v>
      </c>
      <c r="F45" s="199">
        <f t="shared" si="17"/>
        <v>0</v>
      </c>
      <c r="G45" s="199">
        <f t="shared" si="17"/>
        <v>0</v>
      </c>
      <c r="H45" s="199">
        <f t="shared" si="17"/>
        <v>0</v>
      </c>
      <c r="I45" s="199">
        <f t="shared" si="17"/>
        <v>0</v>
      </c>
      <c r="J45" s="199">
        <f t="shared" si="17"/>
        <v>0</v>
      </c>
      <c r="K45" s="199">
        <f t="shared" si="17"/>
        <v>0</v>
      </c>
      <c r="L45" s="199">
        <f t="shared" si="17"/>
        <v>0</v>
      </c>
      <c r="M45" s="199">
        <f t="shared" si="17"/>
        <v>0</v>
      </c>
      <c r="N45" s="199">
        <f t="shared" si="17"/>
        <v>0</v>
      </c>
      <c r="O45" s="199">
        <f t="shared" ref="O45:O105" si="18">P45+Q45</f>
        <v>0</v>
      </c>
      <c r="P45" s="199">
        <f t="shared" ref="P45:P105" si="19">R45</f>
        <v>0</v>
      </c>
      <c r="Q45" s="199">
        <f t="shared" ref="Q45:Q105" si="20">U45</f>
        <v>0</v>
      </c>
      <c r="R45" s="199"/>
      <c r="S45" s="199"/>
      <c r="T45" s="199"/>
      <c r="U45" s="199">
        <f t="shared" ref="U45:U105" si="21">V45+AF45</f>
        <v>0</v>
      </c>
      <c r="V45" s="199">
        <f t="shared" si="17"/>
        <v>0</v>
      </c>
      <c r="W45" s="199">
        <f t="shared" si="17"/>
        <v>0</v>
      </c>
      <c r="X45" s="199">
        <f t="shared" si="17"/>
        <v>0</v>
      </c>
      <c r="Y45" s="199">
        <f t="shared" si="17"/>
        <v>0</v>
      </c>
      <c r="Z45" s="199">
        <f t="shared" si="17"/>
        <v>0</v>
      </c>
      <c r="AA45" s="199">
        <f t="shared" si="17"/>
        <v>0</v>
      </c>
      <c r="AB45" s="199">
        <f t="shared" si="17"/>
        <v>0</v>
      </c>
      <c r="AC45" s="199">
        <f t="shared" si="17"/>
        <v>0</v>
      </c>
      <c r="AD45" s="199">
        <f t="shared" si="17"/>
        <v>0</v>
      </c>
      <c r="AE45" s="199">
        <f t="shared" si="17"/>
        <v>0</v>
      </c>
      <c r="AF45" s="199"/>
      <c r="AG45" s="199"/>
      <c r="AH45" s="199"/>
      <c r="AI45" s="199"/>
    </row>
    <row r="46" spans="1:35" hidden="1" x14ac:dyDescent="0.25">
      <c r="A46" s="193" t="s">
        <v>343</v>
      </c>
      <c r="B46" s="206" t="s">
        <v>344</v>
      </c>
      <c r="C46" s="199">
        <f t="shared" si="16"/>
        <v>0</v>
      </c>
      <c r="D46" s="201"/>
      <c r="E46" s="201">
        <f>SUM(F46:N46)</f>
        <v>0</v>
      </c>
      <c r="F46" s="201"/>
      <c r="G46" s="201"/>
      <c r="H46" s="201"/>
      <c r="I46" s="201"/>
      <c r="J46" s="201"/>
      <c r="K46" s="201"/>
      <c r="L46" s="201"/>
      <c r="M46" s="201"/>
      <c r="N46" s="201"/>
      <c r="O46" s="199">
        <f t="shared" si="18"/>
        <v>0</v>
      </c>
      <c r="P46" s="199">
        <f t="shared" si="19"/>
        <v>0</v>
      </c>
      <c r="Q46" s="199">
        <f t="shared" si="20"/>
        <v>0</v>
      </c>
      <c r="R46" s="201"/>
      <c r="S46" s="201"/>
      <c r="T46" s="201"/>
      <c r="U46" s="199">
        <f t="shared" si="21"/>
        <v>0</v>
      </c>
      <c r="V46" s="201">
        <f>SUM(W46:AE46)</f>
        <v>0</v>
      </c>
      <c r="W46" s="201"/>
      <c r="X46" s="201"/>
      <c r="Y46" s="201"/>
      <c r="Z46" s="201"/>
      <c r="AA46" s="201"/>
      <c r="AB46" s="201"/>
      <c r="AC46" s="201"/>
      <c r="AD46" s="201"/>
      <c r="AE46" s="201"/>
      <c r="AF46" s="201"/>
      <c r="AG46" s="199"/>
      <c r="AH46" s="199"/>
      <c r="AI46" s="199"/>
    </row>
    <row r="47" spans="1:35" hidden="1" x14ac:dyDescent="0.25">
      <c r="A47" s="193">
        <v>8</v>
      </c>
      <c r="B47" s="205" t="s">
        <v>202</v>
      </c>
      <c r="C47" s="199">
        <f t="shared" si="16"/>
        <v>0</v>
      </c>
      <c r="D47" s="199"/>
      <c r="E47" s="199">
        <f t="shared" ref="E47:AE47" si="22">SUM(E48:E49)</f>
        <v>0</v>
      </c>
      <c r="F47" s="199">
        <f t="shared" si="22"/>
        <v>0</v>
      </c>
      <c r="G47" s="199">
        <f t="shared" si="22"/>
        <v>0</v>
      </c>
      <c r="H47" s="199">
        <f t="shared" si="22"/>
        <v>0</v>
      </c>
      <c r="I47" s="199">
        <f t="shared" si="22"/>
        <v>0</v>
      </c>
      <c r="J47" s="199">
        <f t="shared" si="22"/>
        <v>0</v>
      </c>
      <c r="K47" s="199">
        <f t="shared" si="22"/>
        <v>0</v>
      </c>
      <c r="L47" s="199">
        <f t="shared" si="22"/>
        <v>0</v>
      </c>
      <c r="M47" s="199">
        <f t="shared" si="22"/>
        <v>0</v>
      </c>
      <c r="N47" s="199">
        <f t="shared" si="22"/>
        <v>0</v>
      </c>
      <c r="O47" s="199">
        <f t="shared" si="18"/>
        <v>0</v>
      </c>
      <c r="P47" s="199">
        <f t="shared" si="19"/>
        <v>0</v>
      </c>
      <c r="Q47" s="199">
        <f t="shared" si="20"/>
        <v>0</v>
      </c>
      <c r="R47" s="199"/>
      <c r="S47" s="199"/>
      <c r="T47" s="199"/>
      <c r="U47" s="199">
        <f t="shared" si="21"/>
        <v>0</v>
      </c>
      <c r="V47" s="199">
        <f t="shared" si="22"/>
        <v>0</v>
      </c>
      <c r="W47" s="199">
        <f t="shared" si="22"/>
        <v>0</v>
      </c>
      <c r="X47" s="199">
        <f t="shared" si="22"/>
        <v>0</v>
      </c>
      <c r="Y47" s="199">
        <f t="shared" si="22"/>
        <v>0</v>
      </c>
      <c r="Z47" s="199">
        <f t="shared" si="22"/>
        <v>0</v>
      </c>
      <c r="AA47" s="199">
        <f t="shared" si="22"/>
        <v>0</v>
      </c>
      <c r="AB47" s="199">
        <f t="shared" si="22"/>
        <v>0</v>
      </c>
      <c r="AC47" s="199">
        <f t="shared" si="22"/>
        <v>0</v>
      </c>
      <c r="AD47" s="199">
        <f t="shared" si="22"/>
        <v>0</v>
      </c>
      <c r="AE47" s="199">
        <f t="shared" si="22"/>
        <v>0</v>
      </c>
      <c r="AF47" s="199"/>
      <c r="AG47" s="199"/>
      <c r="AH47" s="199"/>
      <c r="AI47" s="199"/>
    </row>
    <row r="48" spans="1:35" hidden="1" x14ac:dyDescent="0.25">
      <c r="A48" s="193" t="s">
        <v>345</v>
      </c>
      <c r="B48" s="206" t="s">
        <v>301</v>
      </c>
      <c r="C48" s="199">
        <f t="shared" si="16"/>
        <v>0</v>
      </c>
      <c r="D48" s="201"/>
      <c r="E48" s="201">
        <f>SUM(F48:N48)</f>
        <v>0</v>
      </c>
      <c r="F48" s="201"/>
      <c r="G48" s="201"/>
      <c r="H48" s="201"/>
      <c r="I48" s="201"/>
      <c r="J48" s="201"/>
      <c r="K48" s="201"/>
      <c r="L48" s="201"/>
      <c r="M48" s="201"/>
      <c r="N48" s="201"/>
      <c r="O48" s="199">
        <f t="shared" si="18"/>
        <v>0</v>
      </c>
      <c r="P48" s="199">
        <f t="shared" si="19"/>
        <v>0</v>
      </c>
      <c r="Q48" s="199">
        <f t="shared" si="20"/>
        <v>0</v>
      </c>
      <c r="R48" s="201"/>
      <c r="S48" s="201"/>
      <c r="T48" s="201"/>
      <c r="U48" s="199">
        <f t="shared" si="21"/>
        <v>0</v>
      </c>
      <c r="V48" s="201">
        <f>SUM(W48:AE48)</f>
        <v>0</v>
      </c>
      <c r="W48" s="201"/>
      <c r="X48" s="201"/>
      <c r="Y48" s="201"/>
      <c r="Z48" s="201"/>
      <c r="AA48" s="201"/>
      <c r="AB48" s="201"/>
      <c r="AC48" s="201"/>
      <c r="AD48" s="201"/>
      <c r="AE48" s="201"/>
      <c r="AF48" s="201"/>
      <c r="AG48" s="199"/>
      <c r="AH48" s="199"/>
      <c r="AI48" s="199"/>
    </row>
    <row r="49" spans="1:35" hidden="1" x14ac:dyDescent="0.25">
      <c r="A49" s="193" t="s">
        <v>346</v>
      </c>
      <c r="B49" s="206" t="s">
        <v>347</v>
      </c>
      <c r="C49" s="199">
        <f t="shared" si="16"/>
        <v>0</v>
      </c>
      <c r="D49" s="201"/>
      <c r="E49" s="201">
        <f>SUM(F49:N49)</f>
        <v>0</v>
      </c>
      <c r="F49" s="201"/>
      <c r="G49" s="201"/>
      <c r="H49" s="201"/>
      <c r="I49" s="201"/>
      <c r="J49" s="201"/>
      <c r="K49" s="201"/>
      <c r="L49" s="201"/>
      <c r="M49" s="201"/>
      <c r="N49" s="201"/>
      <c r="O49" s="199">
        <f t="shared" si="18"/>
        <v>0</v>
      </c>
      <c r="P49" s="199">
        <f t="shared" si="19"/>
        <v>0</v>
      </c>
      <c r="Q49" s="199">
        <f t="shared" si="20"/>
        <v>0</v>
      </c>
      <c r="R49" s="201"/>
      <c r="S49" s="201"/>
      <c r="T49" s="201"/>
      <c r="U49" s="199">
        <f t="shared" si="21"/>
        <v>0</v>
      </c>
      <c r="V49" s="201">
        <f>SUM(W49:AE49)</f>
        <v>0</v>
      </c>
      <c r="W49" s="201"/>
      <c r="X49" s="201"/>
      <c r="Y49" s="201"/>
      <c r="Z49" s="201"/>
      <c r="AA49" s="201"/>
      <c r="AB49" s="201"/>
      <c r="AC49" s="201"/>
      <c r="AD49" s="201"/>
      <c r="AE49" s="201"/>
      <c r="AF49" s="201"/>
      <c r="AG49" s="199"/>
      <c r="AH49" s="199"/>
      <c r="AI49" s="199"/>
    </row>
    <row r="50" spans="1:35" hidden="1" x14ac:dyDescent="0.25">
      <c r="A50" s="193">
        <v>9</v>
      </c>
      <c r="B50" s="205" t="s">
        <v>348</v>
      </c>
      <c r="C50" s="199">
        <f t="shared" si="16"/>
        <v>0</v>
      </c>
      <c r="D50" s="199"/>
      <c r="E50" s="199">
        <f t="shared" ref="E50:AE50" si="23">SUM(E51:E53)</f>
        <v>0</v>
      </c>
      <c r="F50" s="199">
        <f t="shared" si="23"/>
        <v>0</v>
      </c>
      <c r="G50" s="199">
        <f t="shared" si="23"/>
        <v>0</v>
      </c>
      <c r="H50" s="199">
        <f t="shared" si="23"/>
        <v>0</v>
      </c>
      <c r="I50" s="199">
        <f t="shared" si="23"/>
        <v>0</v>
      </c>
      <c r="J50" s="199">
        <f t="shared" si="23"/>
        <v>0</v>
      </c>
      <c r="K50" s="199">
        <f t="shared" si="23"/>
        <v>0</v>
      </c>
      <c r="L50" s="199">
        <f t="shared" si="23"/>
        <v>0</v>
      </c>
      <c r="M50" s="199">
        <f t="shared" si="23"/>
        <v>0</v>
      </c>
      <c r="N50" s="199">
        <f t="shared" si="23"/>
        <v>0</v>
      </c>
      <c r="O50" s="199">
        <f t="shared" si="18"/>
        <v>0</v>
      </c>
      <c r="P50" s="199">
        <f t="shared" si="19"/>
        <v>0</v>
      </c>
      <c r="Q50" s="199">
        <f t="shared" si="20"/>
        <v>0</v>
      </c>
      <c r="R50" s="199"/>
      <c r="S50" s="199"/>
      <c r="T50" s="199"/>
      <c r="U50" s="199">
        <f t="shared" si="21"/>
        <v>0</v>
      </c>
      <c r="V50" s="199">
        <f t="shared" si="23"/>
        <v>0</v>
      </c>
      <c r="W50" s="199">
        <f t="shared" si="23"/>
        <v>0</v>
      </c>
      <c r="X50" s="199">
        <f t="shared" si="23"/>
        <v>0</v>
      </c>
      <c r="Y50" s="199">
        <f t="shared" si="23"/>
        <v>0</v>
      </c>
      <c r="Z50" s="199">
        <f t="shared" si="23"/>
        <v>0</v>
      </c>
      <c r="AA50" s="199">
        <f t="shared" si="23"/>
        <v>0</v>
      </c>
      <c r="AB50" s="199">
        <f t="shared" si="23"/>
        <v>0</v>
      </c>
      <c r="AC50" s="199">
        <f t="shared" si="23"/>
        <v>0</v>
      </c>
      <c r="AD50" s="199">
        <f t="shared" si="23"/>
        <v>0</v>
      </c>
      <c r="AE50" s="199">
        <f t="shared" si="23"/>
        <v>0</v>
      </c>
      <c r="AF50" s="199"/>
      <c r="AG50" s="199"/>
      <c r="AH50" s="199"/>
      <c r="AI50" s="199"/>
    </row>
    <row r="51" spans="1:35" hidden="1" x14ac:dyDescent="0.25">
      <c r="A51" s="193" t="s">
        <v>349</v>
      </c>
      <c r="B51" s="206" t="s">
        <v>301</v>
      </c>
      <c r="C51" s="199">
        <f t="shared" si="16"/>
        <v>0</v>
      </c>
      <c r="D51" s="201"/>
      <c r="E51" s="201">
        <f>SUM(F51:N51)</f>
        <v>0</v>
      </c>
      <c r="F51" s="201"/>
      <c r="G51" s="201"/>
      <c r="H51" s="201"/>
      <c r="I51" s="201"/>
      <c r="J51" s="201"/>
      <c r="K51" s="201"/>
      <c r="L51" s="201"/>
      <c r="M51" s="201"/>
      <c r="N51" s="201"/>
      <c r="O51" s="199">
        <f t="shared" si="18"/>
        <v>0</v>
      </c>
      <c r="P51" s="199">
        <f t="shared" si="19"/>
        <v>0</v>
      </c>
      <c r="Q51" s="199">
        <f t="shared" si="20"/>
        <v>0</v>
      </c>
      <c r="R51" s="201"/>
      <c r="S51" s="201"/>
      <c r="T51" s="201"/>
      <c r="U51" s="199">
        <f t="shared" si="21"/>
        <v>0</v>
      </c>
      <c r="V51" s="201">
        <f>SUM(W51:AE51)</f>
        <v>0</v>
      </c>
      <c r="W51" s="201"/>
      <c r="X51" s="201"/>
      <c r="Y51" s="201"/>
      <c r="Z51" s="201"/>
      <c r="AA51" s="201"/>
      <c r="AB51" s="201"/>
      <c r="AC51" s="201"/>
      <c r="AD51" s="201"/>
      <c r="AE51" s="201"/>
      <c r="AF51" s="201"/>
      <c r="AG51" s="199"/>
      <c r="AH51" s="199"/>
      <c r="AI51" s="199"/>
    </row>
    <row r="52" spans="1:35" hidden="1" x14ac:dyDescent="0.25">
      <c r="A52" s="193" t="s">
        <v>350</v>
      </c>
      <c r="B52" s="206" t="s">
        <v>351</v>
      </c>
      <c r="C52" s="199">
        <f t="shared" si="16"/>
        <v>0</v>
      </c>
      <c r="D52" s="201"/>
      <c r="E52" s="201">
        <f>SUM(F52:N52)</f>
        <v>0</v>
      </c>
      <c r="F52" s="201"/>
      <c r="G52" s="201"/>
      <c r="H52" s="201"/>
      <c r="I52" s="201"/>
      <c r="J52" s="201"/>
      <c r="K52" s="201"/>
      <c r="L52" s="201"/>
      <c r="M52" s="201"/>
      <c r="N52" s="201"/>
      <c r="O52" s="199">
        <f t="shared" si="18"/>
        <v>0</v>
      </c>
      <c r="P52" s="199">
        <f t="shared" si="19"/>
        <v>0</v>
      </c>
      <c r="Q52" s="199">
        <f t="shared" si="20"/>
        <v>0</v>
      </c>
      <c r="R52" s="201"/>
      <c r="S52" s="201"/>
      <c r="T52" s="201"/>
      <c r="U52" s="199">
        <f t="shared" si="21"/>
        <v>0</v>
      </c>
      <c r="V52" s="201">
        <f>SUM(W52:AE52)</f>
        <v>0</v>
      </c>
      <c r="W52" s="201"/>
      <c r="X52" s="201"/>
      <c r="Y52" s="201"/>
      <c r="Z52" s="201"/>
      <c r="AA52" s="201"/>
      <c r="AB52" s="201"/>
      <c r="AC52" s="201"/>
      <c r="AD52" s="201"/>
      <c r="AE52" s="201"/>
      <c r="AF52" s="201"/>
      <c r="AG52" s="199"/>
      <c r="AH52" s="199"/>
      <c r="AI52" s="199"/>
    </row>
    <row r="53" spans="1:35" hidden="1" x14ac:dyDescent="0.25">
      <c r="A53" s="193" t="s">
        <v>352</v>
      </c>
      <c r="B53" s="206" t="s">
        <v>353</v>
      </c>
      <c r="C53" s="199">
        <f t="shared" si="16"/>
        <v>0</v>
      </c>
      <c r="D53" s="201"/>
      <c r="E53" s="201">
        <f>SUM(F53:N53)</f>
        <v>0</v>
      </c>
      <c r="F53" s="201"/>
      <c r="G53" s="201"/>
      <c r="H53" s="201"/>
      <c r="I53" s="201"/>
      <c r="J53" s="201"/>
      <c r="K53" s="201"/>
      <c r="L53" s="201"/>
      <c r="M53" s="201"/>
      <c r="N53" s="201"/>
      <c r="O53" s="199">
        <f t="shared" si="18"/>
        <v>0</v>
      </c>
      <c r="P53" s="199">
        <f t="shared" si="19"/>
        <v>0</v>
      </c>
      <c r="Q53" s="199">
        <f t="shared" si="20"/>
        <v>0</v>
      </c>
      <c r="R53" s="201"/>
      <c r="S53" s="201"/>
      <c r="T53" s="201"/>
      <c r="U53" s="199">
        <f t="shared" si="21"/>
        <v>0</v>
      </c>
      <c r="V53" s="201">
        <f>SUM(W53:AE53)</f>
        <v>0</v>
      </c>
      <c r="W53" s="201"/>
      <c r="X53" s="201"/>
      <c r="Y53" s="201"/>
      <c r="Z53" s="201"/>
      <c r="AA53" s="201"/>
      <c r="AB53" s="201"/>
      <c r="AC53" s="201"/>
      <c r="AD53" s="201"/>
      <c r="AE53" s="201"/>
      <c r="AF53" s="201"/>
      <c r="AG53" s="199"/>
      <c r="AH53" s="199"/>
      <c r="AI53" s="199"/>
    </row>
    <row r="54" spans="1:35" ht="25.5" hidden="1" x14ac:dyDescent="0.25">
      <c r="A54" s="193">
        <v>10</v>
      </c>
      <c r="B54" s="205" t="s">
        <v>354</v>
      </c>
      <c r="C54" s="199">
        <f t="shared" si="16"/>
        <v>0</v>
      </c>
      <c r="D54" s="199"/>
      <c r="E54" s="199">
        <f t="shared" ref="E54:AE54" si="24">SUM(E55:E60)</f>
        <v>0</v>
      </c>
      <c r="F54" s="199">
        <f t="shared" si="24"/>
        <v>0</v>
      </c>
      <c r="G54" s="199">
        <f t="shared" si="24"/>
        <v>0</v>
      </c>
      <c r="H54" s="199">
        <f t="shared" si="24"/>
        <v>0</v>
      </c>
      <c r="I54" s="199">
        <f t="shared" si="24"/>
        <v>0</v>
      </c>
      <c r="J54" s="199">
        <f t="shared" si="24"/>
        <v>0</v>
      </c>
      <c r="K54" s="199">
        <f t="shared" si="24"/>
        <v>0</v>
      </c>
      <c r="L54" s="199">
        <f t="shared" si="24"/>
        <v>0</v>
      </c>
      <c r="M54" s="199">
        <f t="shared" si="24"/>
        <v>0</v>
      </c>
      <c r="N54" s="199">
        <f t="shared" si="24"/>
        <v>0</v>
      </c>
      <c r="O54" s="199">
        <f t="shared" si="18"/>
        <v>0</v>
      </c>
      <c r="P54" s="199">
        <f t="shared" si="19"/>
        <v>0</v>
      </c>
      <c r="Q54" s="199">
        <f t="shared" si="20"/>
        <v>0</v>
      </c>
      <c r="R54" s="199"/>
      <c r="S54" s="199"/>
      <c r="T54" s="199"/>
      <c r="U54" s="199">
        <f t="shared" si="21"/>
        <v>0</v>
      </c>
      <c r="V54" s="199">
        <f t="shared" si="24"/>
        <v>0</v>
      </c>
      <c r="W54" s="199">
        <f t="shared" si="24"/>
        <v>0</v>
      </c>
      <c r="X54" s="199">
        <f t="shared" si="24"/>
        <v>0</v>
      </c>
      <c r="Y54" s="199">
        <f t="shared" si="24"/>
        <v>0</v>
      </c>
      <c r="Z54" s="199">
        <f t="shared" si="24"/>
        <v>0</v>
      </c>
      <c r="AA54" s="199">
        <f t="shared" si="24"/>
        <v>0</v>
      </c>
      <c r="AB54" s="199">
        <f t="shared" si="24"/>
        <v>0</v>
      </c>
      <c r="AC54" s="199">
        <f t="shared" si="24"/>
        <v>0</v>
      </c>
      <c r="AD54" s="199">
        <f t="shared" si="24"/>
        <v>0</v>
      </c>
      <c r="AE54" s="199">
        <f t="shared" si="24"/>
        <v>0</v>
      </c>
      <c r="AF54" s="199"/>
      <c r="AG54" s="199"/>
      <c r="AH54" s="199"/>
      <c r="AI54" s="199"/>
    </row>
    <row r="55" spans="1:35" hidden="1" x14ac:dyDescent="0.25">
      <c r="A55" s="193" t="s">
        <v>355</v>
      </c>
      <c r="B55" s="206" t="s">
        <v>301</v>
      </c>
      <c r="C55" s="199">
        <f t="shared" si="16"/>
        <v>0</v>
      </c>
      <c r="D55" s="201"/>
      <c r="E55" s="201">
        <f t="shared" ref="E55:E60" si="25">SUM(F55:N55)</f>
        <v>0</v>
      </c>
      <c r="F55" s="201"/>
      <c r="G55" s="201"/>
      <c r="H55" s="201"/>
      <c r="I55" s="201"/>
      <c r="J55" s="201"/>
      <c r="K55" s="201"/>
      <c r="L55" s="201"/>
      <c r="M55" s="201"/>
      <c r="N55" s="201"/>
      <c r="O55" s="199">
        <f t="shared" si="18"/>
        <v>0</v>
      </c>
      <c r="P55" s="199">
        <f t="shared" si="19"/>
        <v>0</v>
      </c>
      <c r="Q55" s="199">
        <f t="shared" si="20"/>
        <v>0</v>
      </c>
      <c r="R55" s="201"/>
      <c r="S55" s="201"/>
      <c r="T55" s="201"/>
      <c r="U55" s="199">
        <f t="shared" si="21"/>
        <v>0</v>
      </c>
      <c r="V55" s="201">
        <f t="shared" ref="V55:V60" si="26">SUM(W55:AE55)</f>
        <v>0</v>
      </c>
      <c r="W55" s="201"/>
      <c r="X55" s="201"/>
      <c r="Y55" s="201"/>
      <c r="Z55" s="201"/>
      <c r="AA55" s="201"/>
      <c r="AB55" s="201"/>
      <c r="AC55" s="201"/>
      <c r="AD55" s="201"/>
      <c r="AE55" s="201"/>
      <c r="AF55" s="201"/>
      <c r="AG55" s="199"/>
      <c r="AH55" s="199"/>
      <c r="AI55" s="199"/>
    </row>
    <row r="56" spans="1:35" ht="25.5" hidden="1" x14ac:dyDescent="0.25">
      <c r="A56" s="193" t="s">
        <v>356</v>
      </c>
      <c r="B56" s="206" t="s">
        <v>357</v>
      </c>
      <c r="C56" s="199">
        <f t="shared" si="16"/>
        <v>0</v>
      </c>
      <c r="D56" s="201"/>
      <c r="E56" s="201">
        <f t="shared" si="25"/>
        <v>0</v>
      </c>
      <c r="F56" s="201"/>
      <c r="G56" s="201"/>
      <c r="H56" s="201"/>
      <c r="I56" s="201"/>
      <c r="J56" s="201"/>
      <c r="K56" s="201"/>
      <c r="L56" s="201"/>
      <c r="M56" s="201"/>
      <c r="N56" s="201"/>
      <c r="O56" s="199">
        <f t="shared" si="18"/>
        <v>0</v>
      </c>
      <c r="P56" s="199">
        <f t="shared" si="19"/>
        <v>0</v>
      </c>
      <c r="Q56" s="199">
        <f t="shared" si="20"/>
        <v>0</v>
      </c>
      <c r="R56" s="201"/>
      <c r="S56" s="201"/>
      <c r="T56" s="201"/>
      <c r="U56" s="199">
        <f t="shared" si="21"/>
        <v>0</v>
      </c>
      <c r="V56" s="201">
        <f t="shared" si="26"/>
        <v>0</v>
      </c>
      <c r="W56" s="201"/>
      <c r="X56" s="201"/>
      <c r="Y56" s="201"/>
      <c r="Z56" s="201"/>
      <c r="AA56" s="201"/>
      <c r="AB56" s="201"/>
      <c r="AC56" s="201"/>
      <c r="AD56" s="201"/>
      <c r="AE56" s="201"/>
      <c r="AF56" s="201"/>
      <c r="AG56" s="199"/>
      <c r="AH56" s="199"/>
      <c r="AI56" s="199"/>
    </row>
    <row r="57" spans="1:35" hidden="1" x14ac:dyDescent="0.25">
      <c r="A57" s="193" t="s">
        <v>358</v>
      </c>
      <c r="B57" s="206" t="s">
        <v>359</v>
      </c>
      <c r="C57" s="199">
        <f t="shared" si="16"/>
        <v>0</v>
      </c>
      <c r="D57" s="201"/>
      <c r="E57" s="201">
        <f t="shared" si="25"/>
        <v>0</v>
      </c>
      <c r="F57" s="201"/>
      <c r="G57" s="201"/>
      <c r="H57" s="201"/>
      <c r="I57" s="201"/>
      <c r="J57" s="201"/>
      <c r="K57" s="201"/>
      <c r="L57" s="201"/>
      <c r="M57" s="201"/>
      <c r="N57" s="201"/>
      <c r="O57" s="199">
        <f t="shared" si="18"/>
        <v>0</v>
      </c>
      <c r="P57" s="199">
        <f t="shared" si="19"/>
        <v>0</v>
      </c>
      <c r="Q57" s="199">
        <f t="shared" si="20"/>
        <v>0</v>
      </c>
      <c r="R57" s="201"/>
      <c r="S57" s="201"/>
      <c r="T57" s="201"/>
      <c r="U57" s="199">
        <f t="shared" si="21"/>
        <v>0</v>
      </c>
      <c r="V57" s="201">
        <f t="shared" si="26"/>
        <v>0</v>
      </c>
      <c r="W57" s="201"/>
      <c r="X57" s="201"/>
      <c r="Y57" s="201"/>
      <c r="Z57" s="201"/>
      <c r="AA57" s="201"/>
      <c r="AB57" s="201"/>
      <c r="AC57" s="201"/>
      <c r="AD57" s="201"/>
      <c r="AE57" s="201"/>
      <c r="AF57" s="201"/>
      <c r="AG57" s="199"/>
      <c r="AH57" s="199"/>
      <c r="AI57" s="199"/>
    </row>
    <row r="58" spans="1:35" hidden="1" x14ac:dyDescent="0.25">
      <c r="A58" s="193" t="s">
        <v>360</v>
      </c>
      <c r="B58" s="206" t="s">
        <v>361</v>
      </c>
      <c r="C58" s="199">
        <f t="shared" si="16"/>
        <v>0</v>
      </c>
      <c r="D58" s="201"/>
      <c r="E58" s="201">
        <f t="shared" si="25"/>
        <v>0</v>
      </c>
      <c r="F58" s="201"/>
      <c r="G58" s="201"/>
      <c r="H58" s="201"/>
      <c r="I58" s="201"/>
      <c r="J58" s="201"/>
      <c r="K58" s="201"/>
      <c r="L58" s="201"/>
      <c r="M58" s="201"/>
      <c r="N58" s="201"/>
      <c r="O58" s="199">
        <f t="shared" si="18"/>
        <v>0</v>
      </c>
      <c r="P58" s="199">
        <f t="shared" si="19"/>
        <v>0</v>
      </c>
      <c r="Q58" s="199">
        <f t="shared" si="20"/>
        <v>0</v>
      </c>
      <c r="R58" s="201"/>
      <c r="S58" s="201"/>
      <c r="T58" s="201"/>
      <c r="U58" s="199">
        <f t="shared" si="21"/>
        <v>0</v>
      </c>
      <c r="V58" s="201">
        <f t="shared" si="26"/>
        <v>0</v>
      </c>
      <c r="W58" s="201"/>
      <c r="X58" s="201"/>
      <c r="Y58" s="201"/>
      <c r="Z58" s="201"/>
      <c r="AA58" s="201"/>
      <c r="AB58" s="201"/>
      <c r="AC58" s="201"/>
      <c r="AD58" s="201"/>
      <c r="AE58" s="201"/>
      <c r="AF58" s="201"/>
      <c r="AG58" s="199"/>
      <c r="AH58" s="199"/>
      <c r="AI58" s="199"/>
    </row>
    <row r="59" spans="1:35" ht="25.5" hidden="1" x14ac:dyDescent="0.25">
      <c r="A59" s="193" t="s">
        <v>362</v>
      </c>
      <c r="B59" s="206" t="s">
        <v>363</v>
      </c>
      <c r="C59" s="199">
        <f t="shared" si="16"/>
        <v>0</v>
      </c>
      <c r="D59" s="201"/>
      <c r="E59" s="201">
        <f t="shared" si="25"/>
        <v>0</v>
      </c>
      <c r="F59" s="201"/>
      <c r="G59" s="201"/>
      <c r="H59" s="201"/>
      <c r="I59" s="201"/>
      <c r="J59" s="201"/>
      <c r="K59" s="201"/>
      <c r="L59" s="201"/>
      <c r="M59" s="201"/>
      <c r="N59" s="201"/>
      <c r="O59" s="199">
        <f t="shared" si="18"/>
        <v>0</v>
      </c>
      <c r="P59" s="199">
        <f t="shared" si="19"/>
        <v>0</v>
      </c>
      <c r="Q59" s="199">
        <f t="shared" si="20"/>
        <v>0</v>
      </c>
      <c r="R59" s="201"/>
      <c r="S59" s="201"/>
      <c r="T59" s="201"/>
      <c r="U59" s="199">
        <f t="shared" si="21"/>
        <v>0</v>
      </c>
      <c r="V59" s="201">
        <f t="shared" si="26"/>
        <v>0</v>
      </c>
      <c r="W59" s="201"/>
      <c r="X59" s="201"/>
      <c r="Y59" s="201"/>
      <c r="Z59" s="201"/>
      <c r="AA59" s="201"/>
      <c r="AB59" s="201"/>
      <c r="AC59" s="201"/>
      <c r="AD59" s="201"/>
      <c r="AE59" s="201"/>
      <c r="AF59" s="201"/>
      <c r="AG59" s="199"/>
      <c r="AH59" s="199"/>
      <c r="AI59" s="199"/>
    </row>
    <row r="60" spans="1:35" ht="25.5" hidden="1" x14ac:dyDescent="0.25">
      <c r="A60" s="193" t="s">
        <v>364</v>
      </c>
      <c r="B60" s="206" t="s">
        <v>567</v>
      </c>
      <c r="C60" s="199">
        <f t="shared" si="16"/>
        <v>0</v>
      </c>
      <c r="D60" s="201"/>
      <c r="E60" s="201">
        <f t="shared" si="25"/>
        <v>0</v>
      </c>
      <c r="F60" s="201"/>
      <c r="G60" s="201"/>
      <c r="H60" s="201"/>
      <c r="I60" s="201"/>
      <c r="J60" s="201"/>
      <c r="K60" s="201"/>
      <c r="L60" s="201"/>
      <c r="M60" s="201"/>
      <c r="N60" s="201"/>
      <c r="O60" s="199">
        <f t="shared" si="18"/>
        <v>0</v>
      </c>
      <c r="P60" s="199">
        <f t="shared" si="19"/>
        <v>0</v>
      </c>
      <c r="Q60" s="199">
        <f t="shared" si="20"/>
        <v>0</v>
      </c>
      <c r="R60" s="201"/>
      <c r="S60" s="201"/>
      <c r="T60" s="201"/>
      <c r="U60" s="199">
        <f t="shared" si="21"/>
        <v>0</v>
      </c>
      <c r="V60" s="201">
        <f t="shared" si="26"/>
        <v>0</v>
      </c>
      <c r="W60" s="201"/>
      <c r="X60" s="201"/>
      <c r="Y60" s="201"/>
      <c r="Z60" s="201"/>
      <c r="AA60" s="201"/>
      <c r="AB60" s="201"/>
      <c r="AC60" s="201"/>
      <c r="AD60" s="201"/>
      <c r="AE60" s="201"/>
      <c r="AF60" s="201"/>
      <c r="AG60" s="199"/>
      <c r="AH60" s="199"/>
      <c r="AI60" s="199"/>
    </row>
    <row r="61" spans="1:35" x14ac:dyDescent="0.25">
      <c r="A61" s="193">
        <v>2</v>
      </c>
      <c r="B61" s="205" t="s">
        <v>483</v>
      </c>
      <c r="C61" s="199">
        <f>D61+E61</f>
        <v>50</v>
      </c>
      <c r="D61" s="201"/>
      <c r="E61" s="201">
        <v>50</v>
      </c>
      <c r="F61" s="201"/>
      <c r="G61" s="201"/>
      <c r="H61" s="201"/>
      <c r="I61" s="201"/>
      <c r="J61" s="201"/>
      <c r="K61" s="201"/>
      <c r="L61" s="201"/>
      <c r="M61" s="201"/>
      <c r="N61" s="201"/>
      <c r="O61" s="199">
        <f>P61+Q61</f>
        <v>20</v>
      </c>
      <c r="P61" s="199"/>
      <c r="Q61" s="199">
        <f t="shared" si="20"/>
        <v>20</v>
      </c>
      <c r="R61" s="201"/>
      <c r="S61" s="201"/>
      <c r="T61" s="201"/>
      <c r="U61" s="199">
        <f>V61+AF61</f>
        <v>20</v>
      </c>
      <c r="V61" s="201">
        <v>20</v>
      </c>
      <c r="W61" s="201"/>
      <c r="X61" s="201"/>
      <c r="Y61" s="201"/>
      <c r="Z61" s="201"/>
      <c r="AA61" s="201"/>
      <c r="AB61" s="201"/>
      <c r="AC61" s="201"/>
      <c r="AD61" s="201"/>
      <c r="AE61" s="201"/>
      <c r="AF61" s="201"/>
      <c r="AG61" s="199"/>
      <c r="AH61" s="199"/>
      <c r="AI61" s="199"/>
    </row>
    <row r="62" spans="1:35" ht="16.5" customHeight="1" x14ac:dyDescent="0.25">
      <c r="A62" s="193">
        <v>3</v>
      </c>
      <c r="B62" s="205" t="s">
        <v>198</v>
      </c>
      <c r="C62" s="199">
        <f t="shared" si="16"/>
        <v>80</v>
      </c>
      <c r="D62" s="199"/>
      <c r="E62" s="199">
        <f>E63+E90</f>
        <v>80</v>
      </c>
      <c r="F62" s="199">
        <f t="shared" ref="F62:AE62" si="27">SUM(F63:F90)</f>
        <v>0</v>
      </c>
      <c r="G62" s="199">
        <f t="shared" si="27"/>
        <v>0</v>
      </c>
      <c r="H62" s="199">
        <f t="shared" si="27"/>
        <v>0</v>
      </c>
      <c r="I62" s="199">
        <f t="shared" si="27"/>
        <v>0</v>
      </c>
      <c r="J62" s="199">
        <f t="shared" si="27"/>
        <v>0</v>
      </c>
      <c r="K62" s="199">
        <f t="shared" si="27"/>
        <v>0</v>
      </c>
      <c r="L62" s="199">
        <f t="shared" si="27"/>
        <v>2007</v>
      </c>
      <c r="M62" s="199">
        <f t="shared" si="27"/>
        <v>0</v>
      </c>
      <c r="N62" s="199">
        <f t="shared" si="27"/>
        <v>0</v>
      </c>
      <c r="O62" s="199">
        <f t="shared" si="18"/>
        <v>0</v>
      </c>
      <c r="P62" s="199">
        <f t="shared" si="19"/>
        <v>0</v>
      </c>
      <c r="Q62" s="199">
        <f t="shared" si="20"/>
        <v>0</v>
      </c>
      <c r="R62" s="199"/>
      <c r="S62" s="199"/>
      <c r="T62" s="199"/>
      <c r="U62" s="199">
        <f t="shared" si="21"/>
        <v>0</v>
      </c>
      <c r="V62" s="199">
        <f>V63+V90</f>
        <v>0</v>
      </c>
      <c r="W62" s="199">
        <f t="shared" si="27"/>
        <v>0</v>
      </c>
      <c r="X62" s="199">
        <f t="shared" si="27"/>
        <v>0</v>
      </c>
      <c r="Y62" s="199">
        <f t="shared" si="27"/>
        <v>0</v>
      </c>
      <c r="Z62" s="199">
        <f t="shared" si="27"/>
        <v>0</v>
      </c>
      <c r="AA62" s="199">
        <f t="shared" si="27"/>
        <v>0</v>
      </c>
      <c r="AB62" s="199">
        <f t="shared" si="27"/>
        <v>0</v>
      </c>
      <c r="AC62" s="199">
        <f t="shared" si="27"/>
        <v>7</v>
      </c>
      <c r="AD62" s="199">
        <f t="shared" si="27"/>
        <v>0</v>
      </c>
      <c r="AE62" s="199">
        <f t="shared" si="27"/>
        <v>0</v>
      </c>
      <c r="AF62" s="199"/>
      <c r="AG62" s="199"/>
      <c r="AH62" s="199"/>
      <c r="AI62" s="199"/>
    </row>
    <row r="63" spans="1:35" hidden="1" x14ac:dyDescent="0.25">
      <c r="A63" s="193" t="s">
        <v>293</v>
      </c>
      <c r="B63" s="206" t="s">
        <v>301</v>
      </c>
      <c r="C63" s="199">
        <f t="shared" si="16"/>
        <v>80</v>
      </c>
      <c r="D63" s="201"/>
      <c r="E63" s="201">
        <v>80</v>
      </c>
      <c r="F63" s="201"/>
      <c r="G63" s="201"/>
      <c r="H63" s="201"/>
      <c r="I63" s="201"/>
      <c r="J63" s="201"/>
      <c r="K63" s="201"/>
      <c r="L63" s="201">
        <v>2007</v>
      </c>
      <c r="M63" s="201"/>
      <c r="N63" s="201"/>
      <c r="O63" s="199">
        <f t="shared" si="18"/>
        <v>0</v>
      </c>
      <c r="P63" s="199">
        <f t="shared" si="19"/>
        <v>0</v>
      </c>
      <c r="Q63" s="199">
        <f t="shared" si="20"/>
        <v>0</v>
      </c>
      <c r="R63" s="201"/>
      <c r="S63" s="201"/>
      <c r="T63" s="201"/>
      <c r="U63" s="199">
        <f t="shared" si="21"/>
        <v>0</v>
      </c>
      <c r="V63" s="201"/>
      <c r="W63" s="201"/>
      <c r="X63" s="201"/>
      <c r="Y63" s="201"/>
      <c r="Z63" s="201"/>
      <c r="AA63" s="201"/>
      <c r="AB63" s="201"/>
      <c r="AC63" s="201">
        <v>7</v>
      </c>
      <c r="AD63" s="201"/>
      <c r="AE63" s="201"/>
      <c r="AF63" s="201"/>
      <c r="AG63" s="199"/>
      <c r="AH63" s="199"/>
      <c r="AI63" s="199"/>
    </row>
    <row r="64" spans="1:35" hidden="1" x14ac:dyDescent="0.25">
      <c r="A64" s="193" t="s">
        <v>365</v>
      </c>
      <c r="B64" s="206" t="s">
        <v>366</v>
      </c>
      <c r="C64" s="199">
        <f t="shared" si="16"/>
        <v>0</v>
      </c>
      <c r="D64" s="201"/>
      <c r="E64" s="201">
        <f t="shared" ref="E64:E89" si="28">SUM(F64:N64)</f>
        <v>0</v>
      </c>
      <c r="F64" s="201"/>
      <c r="G64" s="201"/>
      <c r="H64" s="201"/>
      <c r="I64" s="201"/>
      <c r="J64" s="201"/>
      <c r="K64" s="201"/>
      <c r="L64" s="201"/>
      <c r="M64" s="201"/>
      <c r="N64" s="201"/>
      <c r="O64" s="199">
        <f t="shared" si="18"/>
        <v>0</v>
      </c>
      <c r="P64" s="199">
        <f t="shared" si="19"/>
        <v>0</v>
      </c>
      <c r="Q64" s="199">
        <f t="shared" si="20"/>
        <v>0</v>
      </c>
      <c r="R64" s="201"/>
      <c r="S64" s="201"/>
      <c r="T64" s="201"/>
      <c r="U64" s="199">
        <f t="shared" si="21"/>
        <v>0</v>
      </c>
      <c r="V64" s="201">
        <f t="shared" ref="V64:V89" si="29">SUM(W64:AE64)</f>
        <v>0</v>
      </c>
      <c r="W64" s="201"/>
      <c r="X64" s="201"/>
      <c r="Y64" s="201"/>
      <c r="Z64" s="201"/>
      <c r="AA64" s="201"/>
      <c r="AB64" s="201"/>
      <c r="AC64" s="201"/>
      <c r="AD64" s="201"/>
      <c r="AE64" s="201"/>
      <c r="AF64" s="201"/>
      <c r="AG64" s="199"/>
      <c r="AH64" s="199"/>
      <c r="AI64" s="199"/>
    </row>
    <row r="65" spans="1:35" hidden="1" x14ac:dyDescent="0.25">
      <c r="A65" s="193" t="s">
        <v>367</v>
      </c>
      <c r="B65" s="206" t="s">
        <v>368</v>
      </c>
      <c r="C65" s="199">
        <f t="shared" si="16"/>
        <v>0</v>
      </c>
      <c r="D65" s="201"/>
      <c r="E65" s="201">
        <f t="shared" si="28"/>
        <v>0</v>
      </c>
      <c r="F65" s="201"/>
      <c r="G65" s="201"/>
      <c r="H65" s="201"/>
      <c r="I65" s="201"/>
      <c r="J65" s="201"/>
      <c r="K65" s="201"/>
      <c r="L65" s="201"/>
      <c r="M65" s="201"/>
      <c r="N65" s="201"/>
      <c r="O65" s="199">
        <f t="shared" si="18"/>
        <v>0</v>
      </c>
      <c r="P65" s="199">
        <f t="shared" si="19"/>
        <v>0</v>
      </c>
      <c r="Q65" s="199">
        <f t="shared" si="20"/>
        <v>0</v>
      </c>
      <c r="R65" s="201"/>
      <c r="S65" s="201"/>
      <c r="T65" s="201"/>
      <c r="U65" s="199">
        <f t="shared" si="21"/>
        <v>0</v>
      </c>
      <c r="V65" s="201">
        <f t="shared" si="29"/>
        <v>0</v>
      </c>
      <c r="W65" s="201"/>
      <c r="X65" s="201"/>
      <c r="Y65" s="201"/>
      <c r="Z65" s="201"/>
      <c r="AA65" s="201"/>
      <c r="AB65" s="201"/>
      <c r="AC65" s="201"/>
      <c r="AD65" s="201"/>
      <c r="AE65" s="201"/>
      <c r="AF65" s="201"/>
      <c r="AG65" s="199"/>
      <c r="AH65" s="199"/>
      <c r="AI65" s="199"/>
    </row>
    <row r="66" spans="1:35" hidden="1" x14ac:dyDescent="0.25">
      <c r="A66" s="193" t="s">
        <v>369</v>
      </c>
      <c r="B66" s="206" t="s">
        <v>370</v>
      </c>
      <c r="C66" s="199">
        <f t="shared" si="16"/>
        <v>0</v>
      </c>
      <c r="D66" s="201"/>
      <c r="E66" s="201">
        <f t="shared" si="28"/>
        <v>0</v>
      </c>
      <c r="F66" s="201"/>
      <c r="G66" s="201"/>
      <c r="H66" s="201"/>
      <c r="I66" s="201"/>
      <c r="J66" s="201"/>
      <c r="K66" s="201"/>
      <c r="L66" s="201"/>
      <c r="M66" s="201"/>
      <c r="N66" s="201"/>
      <c r="O66" s="199">
        <f t="shared" si="18"/>
        <v>0</v>
      </c>
      <c r="P66" s="199">
        <f t="shared" si="19"/>
        <v>0</v>
      </c>
      <c r="Q66" s="199">
        <f t="shared" si="20"/>
        <v>0</v>
      </c>
      <c r="R66" s="201"/>
      <c r="S66" s="201"/>
      <c r="T66" s="201"/>
      <c r="U66" s="199">
        <f t="shared" si="21"/>
        <v>0</v>
      </c>
      <c r="V66" s="201">
        <f t="shared" si="29"/>
        <v>0</v>
      </c>
      <c r="W66" s="201"/>
      <c r="X66" s="201"/>
      <c r="Y66" s="201"/>
      <c r="Z66" s="201"/>
      <c r="AA66" s="201"/>
      <c r="AB66" s="201"/>
      <c r="AC66" s="201"/>
      <c r="AD66" s="201"/>
      <c r="AE66" s="201"/>
      <c r="AF66" s="201"/>
      <c r="AG66" s="199"/>
      <c r="AH66" s="199"/>
      <c r="AI66" s="199"/>
    </row>
    <row r="67" spans="1:35" hidden="1" x14ac:dyDescent="0.25">
      <c r="A67" s="193" t="s">
        <v>371</v>
      </c>
      <c r="B67" s="206" t="s">
        <v>372</v>
      </c>
      <c r="C67" s="199">
        <f t="shared" si="16"/>
        <v>0</v>
      </c>
      <c r="D67" s="201"/>
      <c r="E67" s="201">
        <f t="shared" si="28"/>
        <v>0</v>
      </c>
      <c r="F67" s="201"/>
      <c r="G67" s="201"/>
      <c r="H67" s="201"/>
      <c r="I67" s="201"/>
      <c r="J67" s="201"/>
      <c r="K67" s="201"/>
      <c r="L67" s="201"/>
      <c r="M67" s="201"/>
      <c r="N67" s="201"/>
      <c r="O67" s="199">
        <f t="shared" si="18"/>
        <v>0</v>
      </c>
      <c r="P67" s="199">
        <f t="shared" si="19"/>
        <v>0</v>
      </c>
      <c r="Q67" s="199">
        <f t="shared" si="20"/>
        <v>0</v>
      </c>
      <c r="R67" s="201"/>
      <c r="S67" s="201"/>
      <c r="T67" s="201"/>
      <c r="U67" s="199">
        <f t="shared" si="21"/>
        <v>0</v>
      </c>
      <c r="V67" s="201">
        <f t="shared" si="29"/>
        <v>0</v>
      </c>
      <c r="W67" s="201"/>
      <c r="X67" s="201"/>
      <c r="Y67" s="201"/>
      <c r="Z67" s="201"/>
      <c r="AA67" s="201"/>
      <c r="AB67" s="201"/>
      <c r="AC67" s="201"/>
      <c r="AD67" s="201"/>
      <c r="AE67" s="201"/>
      <c r="AF67" s="201"/>
      <c r="AG67" s="199"/>
      <c r="AH67" s="199"/>
      <c r="AI67" s="199"/>
    </row>
    <row r="68" spans="1:35" hidden="1" x14ac:dyDescent="0.25">
      <c r="A68" s="193" t="s">
        <v>373</v>
      </c>
      <c r="B68" s="206" t="s">
        <v>374</v>
      </c>
      <c r="C68" s="199">
        <f t="shared" si="16"/>
        <v>0</v>
      </c>
      <c r="D68" s="201"/>
      <c r="E68" s="201">
        <f t="shared" si="28"/>
        <v>0</v>
      </c>
      <c r="F68" s="201"/>
      <c r="G68" s="201"/>
      <c r="H68" s="201"/>
      <c r="I68" s="201"/>
      <c r="J68" s="201"/>
      <c r="K68" s="201"/>
      <c r="L68" s="201"/>
      <c r="M68" s="201"/>
      <c r="N68" s="201"/>
      <c r="O68" s="199">
        <f t="shared" si="18"/>
        <v>0</v>
      </c>
      <c r="P68" s="199">
        <f t="shared" si="19"/>
        <v>0</v>
      </c>
      <c r="Q68" s="199">
        <f t="shared" si="20"/>
        <v>0</v>
      </c>
      <c r="R68" s="201"/>
      <c r="S68" s="201"/>
      <c r="T68" s="201"/>
      <c r="U68" s="199">
        <f t="shared" si="21"/>
        <v>0</v>
      </c>
      <c r="V68" s="201">
        <f t="shared" si="29"/>
        <v>0</v>
      </c>
      <c r="W68" s="201"/>
      <c r="X68" s="201"/>
      <c r="Y68" s="201"/>
      <c r="Z68" s="201"/>
      <c r="AA68" s="201"/>
      <c r="AB68" s="201"/>
      <c r="AC68" s="201"/>
      <c r="AD68" s="201"/>
      <c r="AE68" s="201"/>
      <c r="AF68" s="201"/>
      <c r="AG68" s="199"/>
      <c r="AH68" s="199"/>
      <c r="AI68" s="199"/>
    </row>
    <row r="69" spans="1:35" hidden="1" x14ac:dyDescent="0.25">
      <c r="A69" s="193" t="s">
        <v>375</v>
      </c>
      <c r="B69" s="206" t="s">
        <v>376</v>
      </c>
      <c r="C69" s="199">
        <f t="shared" si="16"/>
        <v>0</v>
      </c>
      <c r="D69" s="201"/>
      <c r="E69" s="201">
        <f t="shared" si="28"/>
        <v>0</v>
      </c>
      <c r="F69" s="201"/>
      <c r="G69" s="201"/>
      <c r="H69" s="201"/>
      <c r="I69" s="201"/>
      <c r="J69" s="201"/>
      <c r="K69" s="201"/>
      <c r="L69" s="201"/>
      <c r="M69" s="201"/>
      <c r="N69" s="201"/>
      <c r="O69" s="199">
        <f t="shared" si="18"/>
        <v>0</v>
      </c>
      <c r="P69" s="199">
        <f t="shared" si="19"/>
        <v>0</v>
      </c>
      <c r="Q69" s="199">
        <f t="shared" si="20"/>
        <v>0</v>
      </c>
      <c r="R69" s="201"/>
      <c r="S69" s="201"/>
      <c r="T69" s="201"/>
      <c r="U69" s="199">
        <f t="shared" si="21"/>
        <v>0</v>
      </c>
      <c r="V69" s="201">
        <f t="shared" si="29"/>
        <v>0</v>
      </c>
      <c r="W69" s="201"/>
      <c r="X69" s="201"/>
      <c r="Y69" s="201"/>
      <c r="Z69" s="201"/>
      <c r="AA69" s="201"/>
      <c r="AB69" s="201"/>
      <c r="AC69" s="201"/>
      <c r="AD69" s="201"/>
      <c r="AE69" s="201"/>
      <c r="AF69" s="201"/>
      <c r="AG69" s="199"/>
      <c r="AH69" s="199"/>
      <c r="AI69" s="199"/>
    </row>
    <row r="70" spans="1:35" hidden="1" x14ac:dyDescent="0.25">
      <c r="A70" s="193" t="s">
        <v>377</v>
      </c>
      <c r="B70" s="206" t="s">
        <v>378</v>
      </c>
      <c r="C70" s="199">
        <f t="shared" si="16"/>
        <v>0</v>
      </c>
      <c r="D70" s="201"/>
      <c r="E70" s="201">
        <f t="shared" si="28"/>
        <v>0</v>
      </c>
      <c r="F70" s="201"/>
      <c r="G70" s="201"/>
      <c r="H70" s="201"/>
      <c r="I70" s="201"/>
      <c r="J70" s="201"/>
      <c r="K70" s="201"/>
      <c r="L70" s="201"/>
      <c r="M70" s="201"/>
      <c r="N70" s="201"/>
      <c r="O70" s="199">
        <f t="shared" si="18"/>
        <v>0</v>
      </c>
      <c r="P70" s="199">
        <f t="shared" si="19"/>
        <v>0</v>
      </c>
      <c r="Q70" s="199">
        <f t="shared" si="20"/>
        <v>0</v>
      </c>
      <c r="R70" s="201"/>
      <c r="S70" s="201"/>
      <c r="T70" s="201"/>
      <c r="U70" s="199">
        <f t="shared" si="21"/>
        <v>0</v>
      </c>
      <c r="V70" s="201">
        <f t="shared" si="29"/>
        <v>0</v>
      </c>
      <c r="W70" s="201"/>
      <c r="X70" s="201"/>
      <c r="Y70" s="201"/>
      <c r="Z70" s="201"/>
      <c r="AA70" s="201"/>
      <c r="AB70" s="201"/>
      <c r="AC70" s="201"/>
      <c r="AD70" s="201"/>
      <c r="AE70" s="201"/>
      <c r="AF70" s="201"/>
      <c r="AG70" s="199"/>
      <c r="AH70" s="199"/>
      <c r="AI70" s="199"/>
    </row>
    <row r="71" spans="1:35" hidden="1" x14ac:dyDescent="0.25">
      <c r="A71" s="193" t="s">
        <v>379</v>
      </c>
      <c r="B71" s="206" t="s">
        <v>380</v>
      </c>
      <c r="C71" s="199">
        <f t="shared" si="16"/>
        <v>0</v>
      </c>
      <c r="D71" s="201"/>
      <c r="E71" s="201">
        <f t="shared" si="28"/>
        <v>0</v>
      </c>
      <c r="F71" s="201"/>
      <c r="G71" s="201"/>
      <c r="H71" s="201"/>
      <c r="I71" s="201"/>
      <c r="J71" s="201"/>
      <c r="K71" s="201"/>
      <c r="L71" s="201"/>
      <c r="M71" s="201"/>
      <c r="N71" s="201"/>
      <c r="O71" s="199">
        <f t="shared" si="18"/>
        <v>0</v>
      </c>
      <c r="P71" s="199">
        <f t="shared" si="19"/>
        <v>0</v>
      </c>
      <c r="Q71" s="199">
        <f t="shared" si="20"/>
        <v>0</v>
      </c>
      <c r="R71" s="201"/>
      <c r="S71" s="201"/>
      <c r="T71" s="201"/>
      <c r="U71" s="199">
        <f t="shared" si="21"/>
        <v>0</v>
      </c>
      <c r="V71" s="201">
        <f t="shared" si="29"/>
        <v>0</v>
      </c>
      <c r="W71" s="201"/>
      <c r="X71" s="201"/>
      <c r="Y71" s="201"/>
      <c r="Z71" s="201"/>
      <c r="AA71" s="201"/>
      <c r="AB71" s="201"/>
      <c r="AC71" s="201"/>
      <c r="AD71" s="201"/>
      <c r="AE71" s="201"/>
      <c r="AF71" s="201"/>
      <c r="AG71" s="199"/>
      <c r="AH71" s="199"/>
      <c r="AI71" s="199"/>
    </row>
    <row r="72" spans="1:35" ht="25.5" hidden="1" x14ac:dyDescent="0.25">
      <c r="A72" s="193" t="s">
        <v>381</v>
      </c>
      <c r="B72" s="206" t="s">
        <v>382</v>
      </c>
      <c r="C72" s="199">
        <f t="shared" si="16"/>
        <v>0</v>
      </c>
      <c r="D72" s="201"/>
      <c r="E72" s="201">
        <f t="shared" si="28"/>
        <v>0</v>
      </c>
      <c r="F72" s="201"/>
      <c r="G72" s="201"/>
      <c r="H72" s="201"/>
      <c r="I72" s="201"/>
      <c r="J72" s="201"/>
      <c r="K72" s="201"/>
      <c r="L72" s="201"/>
      <c r="M72" s="201"/>
      <c r="N72" s="201"/>
      <c r="O72" s="199">
        <f t="shared" si="18"/>
        <v>0</v>
      </c>
      <c r="P72" s="199">
        <f t="shared" si="19"/>
        <v>0</v>
      </c>
      <c r="Q72" s="199">
        <f t="shared" si="20"/>
        <v>0</v>
      </c>
      <c r="R72" s="201"/>
      <c r="S72" s="201"/>
      <c r="T72" s="201"/>
      <c r="U72" s="199">
        <f t="shared" si="21"/>
        <v>0</v>
      </c>
      <c r="V72" s="201">
        <f t="shared" si="29"/>
        <v>0</v>
      </c>
      <c r="W72" s="201"/>
      <c r="X72" s="201"/>
      <c r="Y72" s="201"/>
      <c r="Z72" s="201"/>
      <c r="AA72" s="201"/>
      <c r="AB72" s="201"/>
      <c r="AC72" s="201"/>
      <c r="AD72" s="201"/>
      <c r="AE72" s="201"/>
      <c r="AF72" s="201"/>
      <c r="AG72" s="199"/>
      <c r="AH72" s="199"/>
      <c r="AI72" s="199"/>
    </row>
    <row r="73" spans="1:35" ht="25.5" hidden="1" x14ac:dyDescent="0.25">
      <c r="A73" s="193" t="s">
        <v>383</v>
      </c>
      <c r="B73" s="206" t="s">
        <v>384</v>
      </c>
      <c r="C73" s="199">
        <f t="shared" si="16"/>
        <v>0</v>
      </c>
      <c r="D73" s="201"/>
      <c r="E73" s="201">
        <f t="shared" si="28"/>
        <v>0</v>
      </c>
      <c r="F73" s="201"/>
      <c r="G73" s="201"/>
      <c r="H73" s="201"/>
      <c r="I73" s="201"/>
      <c r="J73" s="201"/>
      <c r="K73" s="201"/>
      <c r="L73" s="201"/>
      <c r="M73" s="201"/>
      <c r="N73" s="201"/>
      <c r="O73" s="199">
        <f t="shared" si="18"/>
        <v>0</v>
      </c>
      <c r="P73" s="199">
        <f t="shared" si="19"/>
        <v>0</v>
      </c>
      <c r="Q73" s="199">
        <f t="shared" si="20"/>
        <v>0</v>
      </c>
      <c r="R73" s="201"/>
      <c r="S73" s="201"/>
      <c r="T73" s="201"/>
      <c r="U73" s="199">
        <f t="shared" si="21"/>
        <v>0</v>
      </c>
      <c r="V73" s="201">
        <f t="shared" si="29"/>
        <v>0</v>
      </c>
      <c r="W73" s="201"/>
      <c r="X73" s="201"/>
      <c r="Y73" s="201"/>
      <c r="Z73" s="201"/>
      <c r="AA73" s="201"/>
      <c r="AB73" s="201"/>
      <c r="AC73" s="201"/>
      <c r="AD73" s="201"/>
      <c r="AE73" s="201"/>
      <c r="AF73" s="201"/>
      <c r="AG73" s="199"/>
      <c r="AH73" s="199"/>
      <c r="AI73" s="199"/>
    </row>
    <row r="74" spans="1:35" ht="25.5" hidden="1" x14ac:dyDescent="0.25">
      <c r="A74" s="193" t="s">
        <v>385</v>
      </c>
      <c r="B74" s="206" t="s">
        <v>386</v>
      </c>
      <c r="C74" s="199">
        <f t="shared" si="16"/>
        <v>0</v>
      </c>
      <c r="D74" s="201"/>
      <c r="E74" s="201">
        <f t="shared" si="28"/>
        <v>0</v>
      </c>
      <c r="F74" s="201"/>
      <c r="G74" s="201"/>
      <c r="H74" s="201"/>
      <c r="I74" s="201"/>
      <c r="J74" s="201"/>
      <c r="K74" s="201"/>
      <c r="L74" s="201"/>
      <c r="M74" s="201"/>
      <c r="N74" s="201"/>
      <c r="O74" s="199">
        <f t="shared" si="18"/>
        <v>0</v>
      </c>
      <c r="P74" s="199">
        <f t="shared" si="19"/>
        <v>0</v>
      </c>
      <c r="Q74" s="199">
        <f t="shared" si="20"/>
        <v>0</v>
      </c>
      <c r="R74" s="201"/>
      <c r="S74" s="201"/>
      <c r="T74" s="201"/>
      <c r="U74" s="199">
        <f t="shared" si="21"/>
        <v>0</v>
      </c>
      <c r="V74" s="201">
        <f t="shared" si="29"/>
        <v>0</v>
      </c>
      <c r="W74" s="201"/>
      <c r="X74" s="201"/>
      <c r="Y74" s="201"/>
      <c r="Z74" s="201"/>
      <c r="AA74" s="201"/>
      <c r="AB74" s="201"/>
      <c r="AC74" s="201"/>
      <c r="AD74" s="201"/>
      <c r="AE74" s="201"/>
      <c r="AF74" s="201"/>
      <c r="AG74" s="199"/>
      <c r="AH74" s="199"/>
      <c r="AI74" s="199"/>
    </row>
    <row r="75" spans="1:35" ht="25.5" hidden="1" x14ac:dyDescent="0.25">
      <c r="A75" s="193" t="s">
        <v>387</v>
      </c>
      <c r="B75" s="206" t="s">
        <v>388</v>
      </c>
      <c r="C75" s="199">
        <f t="shared" si="16"/>
        <v>0</v>
      </c>
      <c r="D75" s="201"/>
      <c r="E75" s="201">
        <f t="shared" si="28"/>
        <v>0</v>
      </c>
      <c r="F75" s="201"/>
      <c r="G75" s="201"/>
      <c r="H75" s="201"/>
      <c r="I75" s="201"/>
      <c r="J75" s="201"/>
      <c r="K75" s="201"/>
      <c r="L75" s="201"/>
      <c r="M75" s="201"/>
      <c r="N75" s="201"/>
      <c r="O75" s="199">
        <f t="shared" si="18"/>
        <v>0</v>
      </c>
      <c r="P75" s="199">
        <f t="shared" si="19"/>
        <v>0</v>
      </c>
      <c r="Q75" s="199">
        <f t="shared" si="20"/>
        <v>0</v>
      </c>
      <c r="R75" s="201"/>
      <c r="S75" s="201"/>
      <c r="T75" s="201"/>
      <c r="U75" s="199">
        <f t="shared" si="21"/>
        <v>0</v>
      </c>
      <c r="V75" s="201">
        <f t="shared" si="29"/>
        <v>0</v>
      </c>
      <c r="W75" s="201"/>
      <c r="X75" s="201"/>
      <c r="Y75" s="201"/>
      <c r="Z75" s="201"/>
      <c r="AA75" s="201"/>
      <c r="AB75" s="201"/>
      <c r="AC75" s="201"/>
      <c r="AD75" s="201"/>
      <c r="AE75" s="201"/>
      <c r="AF75" s="201"/>
      <c r="AG75" s="199"/>
      <c r="AH75" s="199"/>
      <c r="AI75" s="199"/>
    </row>
    <row r="76" spans="1:35" ht="25.5" hidden="1" x14ac:dyDescent="0.25">
      <c r="A76" s="193" t="s">
        <v>389</v>
      </c>
      <c r="B76" s="206" t="s">
        <v>390</v>
      </c>
      <c r="C76" s="199">
        <f t="shared" si="16"/>
        <v>0</v>
      </c>
      <c r="D76" s="201"/>
      <c r="E76" s="201">
        <f t="shared" si="28"/>
        <v>0</v>
      </c>
      <c r="F76" s="201"/>
      <c r="G76" s="201"/>
      <c r="H76" s="201"/>
      <c r="I76" s="201"/>
      <c r="J76" s="201"/>
      <c r="K76" s="201"/>
      <c r="L76" s="201"/>
      <c r="M76" s="201"/>
      <c r="N76" s="201"/>
      <c r="O76" s="199">
        <f t="shared" si="18"/>
        <v>0</v>
      </c>
      <c r="P76" s="199">
        <f t="shared" si="19"/>
        <v>0</v>
      </c>
      <c r="Q76" s="199">
        <f t="shared" si="20"/>
        <v>0</v>
      </c>
      <c r="R76" s="201"/>
      <c r="S76" s="201"/>
      <c r="T76" s="201"/>
      <c r="U76" s="199">
        <f t="shared" si="21"/>
        <v>0</v>
      </c>
      <c r="V76" s="201">
        <f t="shared" si="29"/>
        <v>0</v>
      </c>
      <c r="W76" s="201"/>
      <c r="X76" s="201"/>
      <c r="Y76" s="201"/>
      <c r="Z76" s="201"/>
      <c r="AA76" s="201"/>
      <c r="AB76" s="201"/>
      <c r="AC76" s="201"/>
      <c r="AD76" s="201"/>
      <c r="AE76" s="201"/>
      <c r="AF76" s="201"/>
      <c r="AG76" s="199"/>
      <c r="AH76" s="199"/>
      <c r="AI76" s="199"/>
    </row>
    <row r="77" spans="1:35" ht="25.5" hidden="1" x14ac:dyDescent="0.25">
      <c r="A77" s="193" t="s">
        <v>391</v>
      </c>
      <c r="B77" s="206" t="s">
        <v>392</v>
      </c>
      <c r="C77" s="199">
        <f t="shared" si="16"/>
        <v>0</v>
      </c>
      <c r="D77" s="201"/>
      <c r="E77" s="201">
        <f t="shared" si="28"/>
        <v>0</v>
      </c>
      <c r="F77" s="201"/>
      <c r="G77" s="201"/>
      <c r="H77" s="201"/>
      <c r="I77" s="201"/>
      <c r="J77" s="201"/>
      <c r="K77" s="201"/>
      <c r="L77" s="201"/>
      <c r="M77" s="201"/>
      <c r="N77" s="201"/>
      <c r="O77" s="199">
        <f t="shared" si="18"/>
        <v>0</v>
      </c>
      <c r="P77" s="199">
        <f t="shared" si="19"/>
        <v>0</v>
      </c>
      <c r="Q77" s="199">
        <f t="shared" si="20"/>
        <v>0</v>
      </c>
      <c r="R77" s="201"/>
      <c r="S77" s="201"/>
      <c r="T77" s="201"/>
      <c r="U77" s="199">
        <f t="shared" si="21"/>
        <v>0</v>
      </c>
      <c r="V77" s="201">
        <f t="shared" si="29"/>
        <v>0</v>
      </c>
      <c r="W77" s="201"/>
      <c r="X77" s="201"/>
      <c r="Y77" s="201"/>
      <c r="Z77" s="201"/>
      <c r="AA77" s="201"/>
      <c r="AB77" s="201"/>
      <c r="AC77" s="201"/>
      <c r="AD77" s="201"/>
      <c r="AE77" s="201"/>
      <c r="AF77" s="201"/>
      <c r="AG77" s="199"/>
      <c r="AH77" s="199"/>
      <c r="AI77" s="199"/>
    </row>
    <row r="78" spans="1:35" ht="25.5" hidden="1" x14ac:dyDescent="0.25">
      <c r="A78" s="193" t="s">
        <v>393</v>
      </c>
      <c r="B78" s="206" t="s">
        <v>394</v>
      </c>
      <c r="C78" s="199">
        <f t="shared" si="16"/>
        <v>0</v>
      </c>
      <c r="D78" s="201"/>
      <c r="E78" s="201">
        <f t="shared" si="28"/>
        <v>0</v>
      </c>
      <c r="F78" s="201"/>
      <c r="G78" s="201"/>
      <c r="H78" s="201"/>
      <c r="I78" s="201"/>
      <c r="J78" s="201"/>
      <c r="K78" s="201"/>
      <c r="L78" s="201"/>
      <c r="M78" s="201"/>
      <c r="N78" s="201"/>
      <c r="O78" s="199">
        <f t="shared" si="18"/>
        <v>0</v>
      </c>
      <c r="P78" s="199">
        <f t="shared" si="19"/>
        <v>0</v>
      </c>
      <c r="Q78" s="199">
        <f t="shared" si="20"/>
        <v>0</v>
      </c>
      <c r="R78" s="201"/>
      <c r="S78" s="201"/>
      <c r="T78" s="201"/>
      <c r="U78" s="199">
        <f t="shared" si="21"/>
        <v>0</v>
      </c>
      <c r="V78" s="201">
        <f t="shared" si="29"/>
        <v>0</v>
      </c>
      <c r="W78" s="201"/>
      <c r="X78" s="201"/>
      <c r="Y78" s="201"/>
      <c r="Z78" s="201"/>
      <c r="AA78" s="201"/>
      <c r="AB78" s="201"/>
      <c r="AC78" s="201"/>
      <c r="AD78" s="201"/>
      <c r="AE78" s="201"/>
      <c r="AF78" s="201"/>
      <c r="AG78" s="199"/>
      <c r="AH78" s="199"/>
      <c r="AI78" s="199"/>
    </row>
    <row r="79" spans="1:35" ht="25.5" hidden="1" x14ac:dyDescent="0.25">
      <c r="A79" s="193" t="s">
        <v>395</v>
      </c>
      <c r="B79" s="206" t="s">
        <v>396</v>
      </c>
      <c r="C79" s="199">
        <f t="shared" si="16"/>
        <v>0</v>
      </c>
      <c r="D79" s="201"/>
      <c r="E79" s="201">
        <f t="shared" si="28"/>
        <v>0</v>
      </c>
      <c r="F79" s="201"/>
      <c r="G79" s="201"/>
      <c r="H79" s="201"/>
      <c r="I79" s="201"/>
      <c r="J79" s="201"/>
      <c r="K79" s="201"/>
      <c r="L79" s="201"/>
      <c r="M79" s="201"/>
      <c r="N79" s="201"/>
      <c r="O79" s="199">
        <f t="shared" si="18"/>
        <v>0</v>
      </c>
      <c r="P79" s="199">
        <f t="shared" si="19"/>
        <v>0</v>
      </c>
      <c r="Q79" s="199">
        <f t="shared" si="20"/>
        <v>0</v>
      </c>
      <c r="R79" s="201"/>
      <c r="S79" s="201"/>
      <c r="T79" s="201"/>
      <c r="U79" s="199">
        <f t="shared" si="21"/>
        <v>0</v>
      </c>
      <c r="V79" s="201">
        <f t="shared" si="29"/>
        <v>0</v>
      </c>
      <c r="W79" s="201"/>
      <c r="X79" s="201"/>
      <c r="Y79" s="201"/>
      <c r="Z79" s="201"/>
      <c r="AA79" s="201"/>
      <c r="AB79" s="201"/>
      <c r="AC79" s="201"/>
      <c r="AD79" s="201"/>
      <c r="AE79" s="201"/>
      <c r="AF79" s="201"/>
      <c r="AG79" s="199"/>
      <c r="AH79" s="199"/>
      <c r="AI79" s="199"/>
    </row>
    <row r="80" spans="1:35" ht="25.5" hidden="1" x14ac:dyDescent="0.25">
      <c r="A80" s="193" t="s">
        <v>397</v>
      </c>
      <c r="B80" s="206" t="s">
        <v>398</v>
      </c>
      <c r="C80" s="199">
        <f t="shared" si="16"/>
        <v>0</v>
      </c>
      <c r="D80" s="201"/>
      <c r="E80" s="201">
        <f t="shared" si="28"/>
        <v>0</v>
      </c>
      <c r="F80" s="201"/>
      <c r="G80" s="201"/>
      <c r="H80" s="201"/>
      <c r="I80" s="201"/>
      <c r="J80" s="201"/>
      <c r="K80" s="201"/>
      <c r="L80" s="201"/>
      <c r="M80" s="201"/>
      <c r="N80" s="201"/>
      <c r="O80" s="199">
        <f t="shared" si="18"/>
        <v>0</v>
      </c>
      <c r="P80" s="199">
        <f t="shared" si="19"/>
        <v>0</v>
      </c>
      <c r="Q80" s="199">
        <f t="shared" si="20"/>
        <v>0</v>
      </c>
      <c r="R80" s="201"/>
      <c r="S80" s="201"/>
      <c r="T80" s="201"/>
      <c r="U80" s="199">
        <f t="shared" si="21"/>
        <v>0</v>
      </c>
      <c r="V80" s="201">
        <f t="shared" si="29"/>
        <v>0</v>
      </c>
      <c r="W80" s="201"/>
      <c r="X80" s="201"/>
      <c r="Y80" s="201"/>
      <c r="Z80" s="201"/>
      <c r="AA80" s="201"/>
      <c r="AB80" s="201"/>
      <c r="AC80" s="201"/>
      <c r="AD80" s="201"/>
      <c r="AE80" s="201"/>
      <c r="AF80" s="201"/>
      <c r="AG80" s="199"/>
      <c r="AH80" s="199"/>
      <c r="AI80" s="199"/>
    </row>
    <row r="81" spans="1:35" ht="25.5" hidden="1" x14ac:dyDescent="0.25">
      <c r="A81" s="193" t="s">
        <v>399</v>
      </c>
      <c r="B81" s="206" t="s">
        <v>400</v>
      </c>
      <c r="C81" s="199">
        <f t="shared" si="16"/>
        <v>0</v>
      </c>
      <c r="D81" s="201"/>
      <c r="E81" s="201">
        <f t="shared" si="28"/>
        <v>0</v>
      </c>
      <c r="F81" s="201"/>
      <c r="G81" s="201"/>
      <c r="H81" s="201"/>
      <c r="I81" s="201"/>
      <c r="J81" s="201"/>
      <c r="K81" s="201"/>
      <c r="L81" s="201"/>
      <c r="M81" s="201"/>
      <c r="N81" s="201"/>
      <c r="O81" s="199">
        <f t="shared" si="18"/>
        <v>0</v>
      </c>
      <c r="P81" s="199">
        <f t="shared" si="19"/>
        <v>0</v>
      </c>
      <c r="Q81" s="199">
        <f t="shared" si="20"/>
        <v>0</v>
      </c>
      <c r="R81" s="201"/>
      <c r="S81" s="201"/>
      <c r="T81" s="201"/>
      <c r="U81" s="199">
        <f t="shared" si="21"/>
        <v>0</v>
      </c>
      <c r="V81" s="201">
        <f t="shared" si="29"/>
        <v>0</v>
      </c>
      <c r="W81" s="201"/>
      <c r="X81" s="201"/>
      <c r="Y81" s="201"/>
      <c r="Z81" s="201"/>
      <c r="AA81" s="201"/>
      <c r="AB81" s="201"/>
      <c r="AC81" s="201"/>
      <c r="AD81" s="201"/>
      <c r="AE81" s="201"/>
      <c r="AF81" s="201"/>
      <c r="AG81" s="199"/>
      <c r="AH81" s="199"/>
      <c r="AI81" s="199"/>
    </row>
    <row r="82" spans="1:35" ht="25.5" hidden="1" x14ac:dyDescent="0.25">
      <c r="A82" s="193" t="s">
        <v>401</v>
      </c>
      <c r="B82" s="206" t="s">
        <v>402</v>
      </c>
      <c r="C82" s="199">
        <f t="shared" si="16"/>
        <v>0</v>
      </c>
      <c r="D82" s="201"/>
      <c r="E82" s="201">
        <f t="shared" si="28"/>
        <v>0</v>
      </c>
      <c r="F82" s="201"/>
      <c r="G82" s="201"/>
      <c r="H82" s="201"/>
      <c r="I82" s="201"/>
      <c r="J82" s="201"/>
      <c r="K82" s="201"/>
      <c r="L82" s="201"/>
      <c r="M82" s="201"/>
      <c r="N82" s="201"/>
      <c r="O82" s="199">
        <f t="shared" si="18"/>
        <v>0</v>
      </c>
      <c r="P82" s="199">
        <f t="shared" si="19"/>
        <v>0</v>
      </c>
      <c r="Q82" s="199">
        <f t="shared" si="20"/>
        <v>0</v>
      </c>
      <c r="R82" s="201"/>
      <c r="S82" s="201"/>
      <c r="T82" s="201"/>
      <c r="U82" s="199">
        <f t="shared" si="21"/>
        <v>0</v>
      </c>
      <c r="V82" s="201">
        <f t="shared" si="29"/>
        <v>0</v>
      </c>
      <c r="W82" s="201"/>
      <c r="X82" s="201"/>
      <c r="Y82" s="201"/>
      <c r="Z82" s="201"/>
      <c r="AA82" s="201"/>
      <c r="AB82" s="201"/>
      <c r="AC82" s="201"/>
      <c r="AD82" s="201"/>
      <c r="AE82" s="201"/>
      <c r="AF82" s="201"/>
      <c r="AG82" s="199"/>
      <c r="AH82" s="199"/>
      <c r="AI82" s="199"/>
    </row>
    <row r="83" spans="1:35" ht="25.5" hidden="1" x14ac:dyDescent="0.25">
      <c r="A83" s="193" t="s">
        <v>403</v>
      </c>
      <c r="B83" s="206" t="s">
        <v>404</v>
      </c>
      <c r="C83" s="199">
        <f t="shared" si="16"/>
        <v>0</v>
      </c>
      <c r="D83" s="201"/>
      <c r="E83" s="201">
        <f t="shared" si="28"/>
        <v>0</v>
      </c>
      <c r="F83" s="201"/>
      <c r="G83" s="201"/>
      <c r="H83" s="201"/>
      <c r="I83" s="201"/>
      <c r="J83" s="201"/>
      <c r="K83" s="201"/>
      <c r="L83" s="201"/>
      <c r="M83" s="201"/>
      <c r="N83" s="201"/>
      <c r="O83" s="199">
        <f t="shared" si="18"/>
        <v>0</v>
      </c>
      <c r="P83" s="199">
        <f t="shared" si="19"/>
        <v>0</v>
      </c>
      <c r="Q83" s="199">
        <f t="shared" si="20"/>
        <v>0</v>
      </c>
      <c r="R83" s="201"/>
      <c r="S83" s="201"/>
      <c r="T83" s="201"/>
      <c r="U83" s="199">
        <f t="shared" si="21"/>
        <v>0</v>
      </c>
      <c r="V83" s="201">
        <f t="shared" si="29"/>
        <v>0</v>
      </c>
      <c r="W83" s="201"/>
      <c r="X83" s="201"/>
      <c r="Y83" s="201"/>
      <c r="Z83" s="201"/>
      <c r="AA83" s="201"/>
      <c r="AB83" s="201"/>
      <c r="AC83" s="201"/>
      <c r="AD83" s="201"/>
      <c r="AE83" s="201"/>
      <c r="AF83" s="201"/>
      <c r="AG83" s="199"/>
      <c r="AH83" s="199"/>
      <c r="AI83" s="199"/>
    </row>
    <row r="84" spans="1:35" ht="25.5" hidden="1" x14ac:dyDescent="0.25">
      <c r="A84" s="193" t="s">
        <v>405</v>
      </c>
      <c r="B84" s="206" t="s">
        <v>406</v>
      </c>
      <c r="C84" s="199">
        <f t="shared" si="16"/>
        <v>0</v>
      </c>
      <c r="D84" s="201"/>
      <c r="E84" s="201">
        <f t="shared" si="28"/>
        <v>0</v>
      </c>
      <c r="F84" s="201"/>
      <c r="G84" s="201"/>
      <c r="H84" s="201"/>
      <c r="I84" s="201"/>
      <c r="J84" s="201"/>
      <c r="K84" s="201"/>
      <c r="L84" s="201"/>
      <c r="M84" s="201"/>
      <c r="N84" s="201"/>
      <c r="O84" s="199">
        <f t="shared" si="18"/>
        <v>0</v>
      </c>
      <c r="P84" s="199">
        <f t="shared" si="19"/>
        <v>0</v>
      </c>
      <c r="Q84" s="199">
        <f t="shared" si="20"/>
        <v>0</v>
      </c>
      <c r="R84" s="201"/>
      <c r="S84" s="201"/>
      <c r="T84" s="201"/>
      <c r="U84" s="199">
        <f t="shared" si="21"/>
        <v>0</v>
      </c>
      <c r="V84" s="201">
        <f t="shared" si="29"/>
        <v>0</v>
      </c>
      <c r="W84" s="201"/>
      <c r="X84" s="201"/>
      <c r="Y84" s="201"/>
      <c r="Z84" s="201"/>
      <c r="AA84" s="201"/>
      <c r="AB84" s="201"/>
      <c r="AC84" s="201"/>
      <c r="AD84" s="201"/>
      <c r="AE84" s="201"/>
      <c r="AF84" s="201"/>
      <c r="AG84" s="199"/>
      <c r="AH84" s="199"/>
      <c r="AI84" s="199"/>
    </row>
    <row r="85" spans="1:35" ht="25.5" hidden="1" x14ac:dyDescent="0.25">
      <c r="A85" s="193" t="s">
        <v>407</v>
      </c>
      <c r="B85" s="206" t="s">
        <v>408</v>
      </c>
      <c r="C85" s="199">
        <f t="shared" si="16"/>
        <v>0</v>
      </c>
      <c r="D85" s="201"/>
      <c r="E85" s="201">
        <f t="shared" si="28"/>
        <v>0</v>
      </c>
      <c r="F85" s="201"/>
      <c r="G85" s="201"/>
      <c r="H85" s="201"/>
      <c r="I85" s="201"/>
      <c r="J85" s="201"/>
      <c r="K85" s="201"/>
      <c r="L85" s="201"/>
      <c r="M85" s="201"/>
      <c r="N85" s="201"/>
      <c r="O85" s="199">
        <f t="shared" si="18"/>
        <v>0</v>
      </c>
      <c r="P85" s="199">
        <f t="shared" si="19"/>
        <v>0</v>
      </c>
      <c r="Q85" s="199">
        <f t="shared" si="20"/>
        <v>0</v>
      </c>
      <c r="R85" s="201"/>
      <c r="S85" s="201"/>
      <c r="T85" s="201"/>
      <c r="U85" s="199">
        <f t="shared" si="21"/>
        <v>0</v>
      </c>
      <c r="V85" s="201">
        <f t="shared" si="29"/>
        <v>0</v>
      </c>
      <c r="W85" s="201"/>
      <c r="X85" s="201"/>
      <c r="Y85" s="201"/>
      <c r="Z85" s="201"/>
      <c r="AA85" s="201"/>
      <c r="AB85" s="201"/>
      <c r="AC85" s="201"/>
      <c r="AD85" s="201"/>
      <c r="AE85" s="201"/>
      <c r="AF85" s="201"/>
      <c r="AG85" s="199"/>
      <c r="AH85" s="199"/>
      <c r="AI85" s="199"/>
    </row>
    <row r="86" spans="1:35" ht="25.5" hidden="1" x14ac:dyDescent="0.25">
      <c r="A86" s="193" t="s">
        <v>409</v>
      </c>
      <c r="B86" s="206" t="s">
        <v>410</v>
      </c>
      <c r="C86" s="199">
        <f t="shared" si="16"/>
        <v>0</v>
      </c>
      <c r="D86" s="201"/>
      <c r="E86" s="201">
        <f t="shared" si="28"/>
        <v>0</v>
      </c>
      <c r="F86" s="201"/>
      <c r="G86" s="201"/>
      <c r="H86" s="201"/>
      <c r="I86" s="201"/>
      <c r="J86" s="201"/>
      <c r="K86" s="201"/>
      <c r="L86" s="201"/>
      <c r="M86" s="201"/>
      <c r="N86" s="201"/>
      <c r="O86" s="199">
        <f t="shared" si="18"/>
        <v>0</v>
      </c>
      <c r="P86" s="199">
        <f t="shared" si="19"/>
        <v>0</v>
      </c>
      <c r="Q86" s="199">
        <f t="shared" si="20"/>
        <v>0</v>
      </c>
      <c r="R86" s="201"/>
      <c r="S86" s="201"/>
      <c r="T86" s="201"/>
      <c r="U86" s="199">
        <f t="shared" si="21"/>
        <v>0</v>
      </c>
      <c r="V86" s="201">
        <f t="shared" si="29"/>
        <v>0</v>
      </c>
      <c r="W86" s="201"/>
      <c r="X86" s="201"/>
      <c r="Y86" s="201"/>
      <c r="Z86" s="201"/>
      <c r="AA86" s="201"/>
      <c r="AB86" s="201"/>
      <c r="AC86" s="201"/>
      <c r="AD86" s="201"/>
      <c r="AE86" s="201"/>
      <c r="AF86" s="201"/>
      <c r="AG86" s="199"/>
      <c r="AH86" s="199"/>
      <c r="AI86" s="199"/>
    </row>
    <row r="87" spans="1:35" ht="25.5" hidden="1" x14ac:dyDescent="0.25">
      <c r="A87" s="193" t="s">
        <v>411</v>
      </c>
      <c r="B87" s="206" t="s">
        <v>412</v>
      </c>
      <c r="C87" s="199">
        <f t="shared" si="16"/>
        <v>0</v>
      </c>
      <c r="D87" s="201"/>
      <c r="E87" s="201">
        <f t="shared" si="28"/>
        <v>0</v>
      </c>
      <c r="F87" s="201"/>
      <c r="G87" s="201"/>
      <c r="H87" s="201"/>
      <c r="I87" s="201"/>
      <c r="J87" s="201"/>
      <c r="K87" s="201"/>
      <c r="L87" s="201"/>
      <c r="M87" s="201"/>
      <c r="N87" s="201"/>
      <c r="O87" s="199">
        <f t="shared" si="18"/>
        <v>0</v>
      </c>
      <c r="P87" s="199">
        <f t="shared" si="19"/>
        <v>0</v>
      </c>
      <c r="Q87" s="199">
        <f t="shared" si="20"/>
        <v>0</v>
      </c>
      <c r="R87" s="201"/>
      <c r="S87" s="201"/>
      <c r="T87" s="201"/>
      <c r="U87" s="199">
        <f t="shared" si="21"/>
        <v>0</v>
      </c>
      <c r="V87" s="201">
        <f t="shared" si="29"/>
        <v>0</v>
      </c>
      <c r="W87" s="201"/>
      <c r="X87" s="201"/>
      <c r="Y87" s="201"/>
      <c r="Z87" s="201"/>
      <c r="AA87" s="201"/>
      <c r="AB87" s="201"/>
      <c r="AC87" s="201"/>
      <c r="AD87" s="201"/>
      <c r="AE87" s="201"/>
      <c r="AF87" s="201"/>
      <c r="AG87" s="199"/>
      <c r="AH87" s="199"/>
      <c r="AI87" s="199"/>
    </row>
    <row r="88" spans="1:35" ht="25.5" hidden="1" x14ac:dyDescent="0.25">
      <c r="A88" s="193" t="s">
        <v>413</v>
      </c>
      <c r="B88" s="206" t="s">
        <v>414</v>
      </c>
      <c r="C88" s="199">
        <f t="shared" si="16"/>
        <v>0</v>
      </c>
      <c r="D88" s="201"/>
      <c r="E88" s="201">
        <f t="shared" si="28"/>
        <v>0</v>
      </c>
      <c r="F88" s="201"/>
      <c r="G88" s="201"/>
      <c r="H88" s="201"/>
      <c r="I88" s="201"/>
      <c r="J88" s="201"/>
      <c r="K88" s="201"/>
      <c r="L88" s="201"/>
      <c r="M88" s="201"/>
      <c r="N88" s="201"/>
      <c r="O88" s="199">
        <f t="shared" si="18"/>
        <v>0</v>
      </c>
      <c r="P88" s="199">
        <f t="shared" si="19"/>
        <v>0</v>
      </c>
      <c r="Q88" s="199">
        <f t="shared" si="20"/>
        <v>0</v>
      </c>
      <c r="R88" s="201"/>
      <c r="S88" s="201"/>
      <c r="T88" s="201"/>
      <c r="U88" s="199">
        <f t="shared" si="21"/>
        <v>0</v>
      </c>
      <c r="V88" s="201">
        <f t="shared" si="29"/>
        <v>0</v>
      </c>
      <c r="W88" s="201"/>
      <c r="X88" s="201"/>
      <c r="Y88" s="201"/>
      <c r="Z88" s="201"/>
      <c r="AA88" s="201"/>
      <c r="AB88" s="201"/>
      <c r="AC88" s="201"/>
      <c r="AD88" s="201"/>
      <c r="AE88" s="201"/>
      <c r="AF88" s="201"/>
      <c r="AG88" s="199"/>
      <c r="AH88" s="199"/>
      <c r="AI88" s="199"/>
    </row>
    <row r="89" spans="1:35" ht="25.5" hidden="1" x14ac:dyDescent="0.25">
      <c r="A89" s="193" t="s">
        <v>415</v>
      </c>
      <c r="B89" s="206" t="s">
        <v>416</v>
      </c>
      <c r="C89" s="199">
        <f t="shared" si="16"/>
        <v>0</v>
      </c>
      <c r="D89" s="201"/>
      <c r="E89" s="201">
        <f t="shared" si="28"/>
        <v>0</v>
      </c>
      <c r="F89" s="201"/>
      <c r="G89" s="201"/>
      <c r="H89" s="201"/>
      <c r="I89" s="201"/>
      <c r="J89" s="201"/>
      <c r="K89" s="201"/>
      <c r="L89" s="201"/>
      <c r="M89" s="201"/>
      <c r="N89" s="201"/>
      <c r="O89" s="199">
        <f t="shared" si="18"/>
        <v>0</v>
      </c>
      <c r="P89" s="199">
        <f t="shared" si="19"/>
        <v>0</v>
      </c>
      <c r="Q89" s="199">
        <f t="shared" si="20"/>
        <v>0</v>
      </c>
      <c r="R89" s="201"/>
      <c r="S89" s="201"/>
      <c r="T89" s="201"/>
      <c r="U89" s="199">
        <f t="shared" si="21"/>
        <v>0</v>
      </c>
      <c r="V89" s="201">
        <f t="shared" si="29"/>
        <v>0</v>
      </c>
      <c r="W89" s="201"/>
      <c r="X89" s="201"/>
      <c r="Y89" s="201"/>
      <c r="Z89" s="201"/>
      <c r="AA89" s="201"/>
      <c r="AB89" s="201"/>
      <c r="AC89" s="201"/>
      <c r="AD89" s="201"/>
      <c r="AE89" s="201"/>
      <c r="AF89" s="201"/>
      <c r="AG89" s="199"/>
      <c r="AH89" s="199"/>
      <c r="AI89" s="199"/>
    </row>
    <row r="90" spans="1:35" ht="25.5" hidden="1" x14ac:dyDescent="0.25">
      <c r="A90" s="193" t="s">
        <v>417</v>
      </c>
      <c r="B90" s="206" t="s">
        <v>418</v>
      </c>
      <c r="C90" s="199">
        <f t="shared" si="16"/>
        <v>0</v>
      </c>
      <c r="D90" s="201"/>
      <c r="E90" s="201"/>
      <c r="F90" s="201"/>
      <c r="G90" s="201"/>
      <c r="H90" s="201"/>
      <c r="I90" s="201"/>
      <c r="J90" s="201"/>
      <c r="K90" s="201"/>
      <c r="L90" s="201"/>
      <c r="M90" s="201"/>
      <c r="N90" s="201"/>
      <c r="O90" s="199">
        <f t="shared" si="18"/>
        <v>0</v>
      </c>
      <c r="P90" s="199">
        <f t="shared" si="19"/>
        <v>0</v>
      </c>
      <c r="Q90" s="199">
        <f t="shared" si="20"/>
        <v>0</v>
      </c>
      <c r="R90" s="201"/>
      <c r="S90" s="201"/>
      <c r="T90" s="201"/>
      <c r="U90" s="199">
        <f t="shared" si="21"/>
        <v>0</v>
      </c>
      <c r="V90" s="201"/>
      <c r="W90" s="201"/>
      <c r="X90" s="201"/>
      <c r="Y90" s="201"/>
      <c r="Z90" s="201"/>
      <c r="AA90" s="201"/>
      <c r="AB90" s="201"/>
      <c r="AC90" s="201"/>
      <c r="AD90" s="201"/>
      <c r="AE90" s="201"/>
      <c r="AF90" s="201"/>
      <c r="AG90" s="199"/>
      <c r="AH90" s="199"/>
      <c r="AI90" s="199"/>
    </row>
    <row r="91" spans="1:35" ht="25.5" x14ac:dyDescent="0.25">
      <c r="A91" s="193">
        <v>4</v>
      </c>
      <c r="B91" s="205" t="s">
        <v>495</v>
      </c>
      <c r="C91" s="199">
        <f t="shared" si="16"/>
        <v>3</v>
      </c>
      <c r="D91" s="199"/>
      <c r="E91" s="199">
        <v>3</v>
      </c>
      <c r="F91" s="199">
        <f t="shared" ref="F91:N91" si="30">SUM(F92:F93)</f>
        <v>0</v>
      </c>
      <c r="G91" s="199">
        <f t="shared" si="30"/>
        <v>0</v>
      </c>
      <c r="H91" s="199">
        <f t="shared" si="30"/>
        <v>0</v>
      </c>
      <c r="I91" s="199">
        <f t="shared" si="30"/>
        <v>0</v>
      </c>
      <c r="J91" s="199">
        <f t="shared" si="30"/>
        <v>0</v>
      </c>
      <c r="K91" s="199">
        <f t="shared" si="30"/>
        <v>0</v>
      </c>
      <c r="L91" s="199">
        <f t="shared" si="30"/>
        <v>0</v>
      </c>
      <c r="M91" s="199">
        <f t="shared" si="30"/>
        <v>0</v>
      </c>
      <c r="N91" s="199">
        <f t="shared" si="30"/>
        <v>0</v>
      </c>
      <c r="O91" s="199">
        <f t="shared" si="18"/>
        <v>3</v>
      </c>
      <c r="P91" s="199">
        <f t="shared" si="19"/>
        <v>0</v>
      </c>
      <c r="Q91" s="199">
        <f t="shared" si="20"/>
        <v>3</v>
      </c>
      <c r="R91" s="199"/>
      <c r="S91" s="199"/>
      <c r="T91" s="199"/>
      <c r="U91" s="199">
        <f t="shared" si="21"/>
        <v>3</v>
      </c>
      <c r="V91" s="199">
        <v>3</v>
      </c>
      <c r="W91" s="199">
        <f t="shared" ref="W91:AE91" si="31">SUM(W92:W93)</f>
        <v>0</v>
      </c>
      <c r="X91" s="199">
        <f t="shared" si="31"/>
        <v>245</v>
      </c>
      <c r="Y91" s="199">
        <f t="shared" si="31"/>
        <v>0</v>
      </c>
      <c r="Z91" s="199">
        <f t="shared" si="31"/>
        <v>0</v>
      </c>
      <c r="AA91" s="199">
        <f t="shared" si="31"/>
        <v>0</v>
      </c>
      <c r="AB91" s="199">
        <f t="shared" si="31"/>
        <v>0</v>
      </c>
      <c r="AC91" s="199">
        <f t="shared" si="31"/>
        <v>0</v>
      </c>
      <c r="AD91" s="199">
        <f t="shared" si="31"/>
        <v>0</v>
      </c>
      <c r="AE91" s="199">
        <f t="shared" si="31"/>
        <v>0</v>
      </c>
      <c r="AF91" s="199"/>
      <c r="AG91" s="199"/>
      <c r="AH91" s="199"/>
      <c r="AI91" s="202"/>
    </row>
    <row r="92" spans="1:35" hidden="1" x14ac:dyDescent="0.25">
      <c r="A92" s="193" t="s">
        <v>419</v>
      </c>
      <c r="B92" s="206" t="s">
        <v>420</v>
      </c>
      <c r="C92" s="199">
        <f t="shared" si="16"/>
        <v>0</v>
      </c>
      <c r="D92" s="201"/>
      <c r="E92" s="201">
        <f t="shared" ref="E92:E93" si="32">SUM(F92:N92)</f>
        <v>0</v>
      </c>
      <c r="F92" s="201"/>
      <c r="G92" s="201"/>
      <c r="H92" s="201"/>
      <c r="I92" s="201"/>
      <c r="J92" s="201"/>
      <c r="K92" s="201"/>
      <c r="L92" s="201"/>
      <c r="M92" s="201"/>
      <c r="N92" s="201"/>
      <c r="O92" s="199">
        <f t="shared" si="18"/>
        <v>245</v>
      </c>
      <c r="P92" s="199">
        <f t="shared" si="19"/>
        <v>0</v>
      </c>
      <c r="Q92" s="199">
        <f t="shared" si="20"/>
        <v>245</v>
      </c>
      <c r="R92" s="201"/>
      <c r="S92" s="201"/>
      <c r="T92" s="201"/>
      <c r="U92" s="199">
        <f t="shared" si="21"/>
        <v>245</v>
      </c>
      <c r="V92" s="201">
        <f t="shared" ref="V92:V93" si="33">SUM(W92:AE92)</f>
        <v>245</v>
      </c>
      <c r="W92" s="201"/>
      <c r="X92" s="201">
        <v>245</v>
      </c>
      <c r="Y92" s="201"/>
      <c r="Z92" s="201"/>
      <c r="AA92" s="201"/>
      <c r="AB92" s="201"/>
      <c r="AC92" s="201"/>
      <c r="AD92" s="201"/>
      <c r="AE92" s="201"/>
      <c r="AF92" s="201"/>
      <c r="AG92" s="199"/>
      <c r="AH92" s="199"/>
      <c r="AI92" s="199"/>
    </row>
    <row r="93" spans="1:35" hidden="1" x14ac:dyDescent="0.25">
      <c r="A93" s="193" t="s">
        <v>421</v>
      </c>
      <c r="B93" s="206" t="s">
        <v>422</v>
      </c>
      <c r="C93" s="199">
        <f t="shared" si="16"/>
        <v>0</v>
      </c>
      <c r="D93" s="201"/>
      <c r="E93" s="201">
        <f t="shared" si="32"/>
        <v>0</v>
      </c>
      <c r="F93" s="201"/>
      <c r="G93" s="201"/>
      <c r="H93" s="201"/>
      <c r="I93" s="201"/>
      <c r="J93" s="201"/>
      <c r="K93" s="201"/>
      <c r="L93" s="201"/>
      <c r="M93" s="201"/>
      <c r="N93" s="201"/>
      <c r="O93" s="199">
        <f t="shared" si="18"/>
        <v>0</v>
      </c>
      <c r="P93" s="199">
        <f t="shared" si="19"/>
        <v>0</v>
      </c>
      <c r="Q93" s="199">
        <f t="shared" si="20"/>
        <v>0</v>
      </c>
      <c r="R93" s="201"/>
      <c r="S93" s="201"/>
      <c r="T93" s="201"/>
      <c r="U93" s="199">
        <f t="shared" si="21"/>
        <v>0</v>
      </c>
      <c r="V93" s="201">
        <f t="shared" si="33"/>
        <v>0</v>
      </c>
      <c r="W93" s="201"/>
      <c r="X93" s="201"/>
      <c r="Y93" s="201"/>
      <c r="Z93" s="201"/>
      <c r="AA93" s="201"/>
      <c r="AB93" s="201"/>
      <c r="AC93" s="201"/>
      <c r="AD93" s="201"/>
      <c r="AE93" s="201"/>
      <c r="AF93" s="201"/>
      <c r="AG93" s="199"/>
      <c r="AH93" s="199"/>
      <c r="AI93" s="199"/>
    </row>
    <row r="94" spans="1:35" ht="14.25" customHeight="1" x14ac:dyDescent="0.25">
      <c r="A94" s="193">
        <v>5</v>
      </c>
      <c r="B94" s="205" t="s">
        <v>423</v>
      </c>
      <c r="C94" s="199">
        <f t="shared" si="16"/>
        <v>1704</v>
      </c>
      <c r="D94" s="199"/>
      <c r="E94" s="199">
        <v>1704</v>
      </c>
      <c r="F94" s="199">
        <f t="shared" ref="F94:AE94" si="34">SUM(F95:F97)</f>
        <v>0</v>
      </c>
      <c r="G94" s="199">
        <f t="shared" si="34"/>
        <v>0</v>
      </c>
      <c r="H94" s="199">
        <f t="shared" si="34"/>
        <v>0</v>
      </c>
      <c r="I94" s="199">
        <f t="shared" si="34"/>
        <v>0</v>
      </c>
      <c r="J94" s="199">
        <f t="shared" si="34"/>
        <v>0</v>
      </c>
      <c r="K94" s="199">
        <f t="shared" si="34"/>
        <v>0</v>
      </c>
      <c r="L94" s="199">
        <f t="shared" si="34"/>
        <v>0</v>
      </c>
      <c r="M94" s="199">
        <f t="shared" si="34"/>
        <v>0</v>
      </c>
      <c r="N94" s="199">
        <f t="shared" si="34"/>
        <v>1183</v>
      </c>
      <c r="O94" s="199">
        <f t="shared" si="18"/>
        <v>1380</v>
      </c>
      <c r="P94" s="199">
        <f t="shared" si="19"/>
        <v>0</v>
      </c>
      <c r="Q94" s="199">
        <f t="shared" si="20"/>
        <v>1380</v>
      </c>
      <c r="R94" s="199"/>
      <c r="S94" s="199"/>
      <c r="T94" s="199"/>
      <c r="U94" s="199">
        <f t="shared" si="21"/>
        <v>1380</v>
      </c>
      <c r="V94" s="199">
        <v>1380</v>
      </c>
      <c r="W94" s="199">
        <f t="shared" si="34"/>
        <v>134</v>
      </c>
      <c r="X94" s="199">
        <f t="shared" si="34"/>
        <v>0</v>
      </c>
      <c r="Y94" s="199">
        <f t="shared" si="34"/>
        <v>0</v>
      </c>
      <c r="Z94" s="199">
        <f t="shared" si="34"/>
        <v>0</v>
      </c>
      <c r="AA94" s="199">
        <f t="shared" si="34"/>
        <v>0</v>
      </c>
      <c r="AB94" s="199">
        <f t="shared" si="34"/>
        <v>0</v>
      </c>
      <c r="AC94" s="199">
        <f t="shared" si="34"/>
        <v>0</v>
      </c>
      <c r="AD94" s="199">
        <f t="shared" si="34"/>
        <v>0</v>
      </c>
      <c r="AE94" s="199">
        <f t="shared" si="34"/>
        <v>447</v>
      </c>
      <c r="AF94" s="199"/>
      <c r="AG94" s="199"/>
      <c r="AH94" s="199"/>
      <c r="AI94" s="199"/>
    </row>
    <row r="95" spans="1:35" hidden="1" x14ac:dyDescent="0.25">
      <c r="A95" s="193" t="s">
        <v>327</v>
      </c>
      <c r="B95" s="206" t="s">
        <v>344</v>
      </c>
      <c r="C95" s="199">
        <f t="shared" si="16"/>
        <v>1143</v>
      </c>
      <c r="D95" s="201"/>
      <c r="E95" s="201">
        <f>SUM(F95:N95)</f>
        <v>1143</v>
      </c>
      <c r="F95" s="201"/>
      <c r="G95" s="201"/>
      <c r="H95" s="201"/>
      <c r="I95" s="201"/>
      <c r="J95" s="201"/>
      <c r="K95" s="201"/>
      <c r="L95" s="201"/>
      <c r="M95" s="201"/>
      <c r="N95" s="201">
        <v>1143</v>
      </c>
      <c r="O95" s="199">
        <f t="shared" si="18"/>
        <v>581</v>
      </c>
      <c r="P95" s="199">
        <f t="shared" si="19"/>
        <v>0</v>
      </c>
      <c r="Q95" s="199">
        <f t="shared" si="20"/>
        <v>581</v>
      </c>
      <c r="R95" s="201"/>
      <c r="S95" s="201"/>
      <c r="T95" s="201"/>
      <c r="U95" s="199">
        <f t="shared" si="21"/>
        <v>581</v>
      </c>
      <c r="V95" s="201">
        <f>SUM(W95:AE95)</f>
        <v>581</v>
      </c>
      <c r="W95" s="201">
        <v>134</v>
      </c>
      <c r="X95" s="201"/>
      <c r="Y95" s="201"/>
      <c r="Z95" s="201"/>
      <c r="AA95" s="201"/>
      <c r="AB95" s="201"/>
      <c r="AC95" s="201"/>
      <c r="AD95" s="201"/>
      <c r="AE95" s="201">
        <v>447</v>
      </c>
      <c r="AF95" s="201"/>
      <c r="AG95" s="199"/>
      <c r="AH95" s="199"/>
      <c r="AI95" s="199"/>
    </row>
    <row r="96" spans="1:35" hidden="1" x14ac:dyDescent="0.25">
      <c r="A96" s="193" t="s">
        <v>329</v>
      </c>
      <c r="B96" s="206" t="s">
        <v>424</v>
      </c>
      <c r="C96" s="199">
        <f t="shared" si="16"/>
        <v>40</v>
      </c>
      <c r="D96" s="201"/>
      <c r="E96" s="201">
        <f>SUM(F96:N96)</f>
        <v>40</v>
      </c>
      <c r="F96" s="201"/>
      <c r="G96" s="201"/>
      <c r="H96" s="201"/>
      <c r="I96" s="201"/>
      <c r="J96" s="201"/>
      <c r="K96" s="201"/>
      <c r="L96" s="201"/>
      <c r="M96" s="201"/>
      <c r="N96" s="201">
        <v>40</v>
      </c>
      <c r="O96" s="199">
        <f t="shared" si="18"/>
        <v>0</v>
      </c>
      <c r="P96" s="199">
        <f t="shared" si="19"/>
        <v>0</v>
      </c>
      <c r="Q96" s="199">
        <f t="shared" si="20"/>
        <v>0</v>
      </c>
      <c r="R96" s="201"/>
      <c r="S96" s="201"/>
      <c r="T96" s="201"/>
      <c r="U96" s="199">
        <f t="shared" si="21"/>
        <v>0</v>
      </c>
      <c r="V96" s="201">
        <f>SUM(W96:AE96)</f>
        <v>0</v>
      </c>
      <c r="W96" s="201"/>
      <c r="X96" s="201"/>
      <c r="Y96" s="201"/>
      <c r="Z96" s="201"/>
      <c r="AA96" s="201"/>
      <c r="AB96" s="201"/>
      <c r="AC96" s="201"/>
      <c r="AD96" s="201"/>
      <c r="AE96" s="201"/>
      <c r="AF96" s="201"/>
      <c r="AG96" s="199"/>
      <c r="AH96" s="199"/>
      <c r="AI96" s="199"/>
    </row>
    <row r="97" spans="1:35" ht="25.5" hidden="1" x14ac:dyDescent="0.25">
      <c r="A97" s="193" t="s">
        <v>425</v>
      </c>
      <c r="B97" s="206" t="s">
        <v>426</v>
      </c>
      <c r="C97" s="199">
        <f t="shared" si="16"/>
        <v>0</v>
      </c>
      <c r="D97" s="201"/>
      <c r="E97" s="201">
        <f>SUM(F97:N97)</f>
        <v>0</v>
      </c>
      <c r="F97" s="201"/>
      <c r="G97" s="201"/>
      <c r="H97" s="201"/>
      <c r="I97" s="201"/>
      <c r="J97" s="201"/>
      <c r="K97" s="201"/>
      <c r="L97" s="201"/>
      <c r="M97" s="201"/>
      <c r="N97" s="201"/>
      <c r="O97" s="199">
        <f t="shared" si="18"/>
        <v>0</v>
      </c>
      <c r="P97" s="199">
        <f t="shared" si="19"/>
        <v>0</v>
      </c>
      <c r="Q97" s="199">
        <f t="shared" si="20"/>
        <v>0</v>
      </c>
      <c r="R97" s="201"/>
      <c r="S97" s="201"/>
      <c r="T97" s="201"/>
      <c r="U97" s="199">
        <f t="shared" si="21"/>
        <v>0</v>
      </c>
      <c r="V97" s="201">
        <f>SUM(W97:AE97)</f>
        <v>0</v>
      </c>
      <c r="W97" s="201"/>
      <c r="X97" s="201"/>
      <c r="Y97" s="201"/>
      <c r="Z97" s="201"/>
      <c r="AA97" s="201"/>
      <c r="AB97" s="201"/>
      <c r="AC97" s="201"/>
      <c r="AD97" s="201"/>
      <c r="AE97" s="201"/>
      <c r="AF97" s="201"/>
      <c r="AG97" s="199"/>
      <c r="AH97" s="199"/>
      <c r="AI97" s="199"/>
    </row>
    <row r="98" spans="1:35" ht="25.5" x14ac:dyDescent="0.25">
      <c r="A98" s="193">
        <v>6</v>
      </c>
      <c r="B98" s="205" t="s">
        <v>427</v>
      </c>
      <c r="C98" s="199">
        <f t="shared" si="16"/>
        <v>1000</v>
      </c>
      <c r="D98" s="199"/>
      <c r="E98" s="199">
        <v>1000</v>
      </c>
      <c r="F98" s="199">
        <f t="shared" ref="F98:AE98" si="35">SUM(F99:F101)</f>
        <v>0</v>
      </c>
      <c r="G98" s="199">
        <f t="shared" si="35"/>
        <v>0</v>
      </c>
      <c r="H98" s="199">
        <f t="shared" si="35"/>
        <v>0</v>
      </c>
      <c r="I98" s="199">
        <f t="shared" si="35"/>
        <v>0</v>
      </c>
      <c r="J98" s="199">
        <f t="shared" si="35"/>
        <v>0</v>
      </c>
      <c r="K98" s="199">
        <f t="shared" si="35"/>
        <v>0</v>
      </c>
      <c r="L98" s="199">
        <f t="shared" si="35"/>
        <v>300</v>
      </c>
      <c r="M98" s="199">
        <f t="shared" si="35"/>
        <v>0</v>
      </c>
      <c r="N98" s="199">
        <f t="shared" si="35"/>
        <v>0</v>
      </c>
      <c r="O98" s="199">
        <f t="shared" si="18"/>
        <v>972</v>
      </c>
      <c r="P98" s="199">
        <f t="shared" si="19"/>
        <v>0</v>
      </c>
      <c r="Q98" s="199">
        <f t="shared" si="20"/>
        <v>972</v>
      </c>
      <c r="R98" s="199">
        <f>S98</f>
        <v>0</v>
      </c>
      <c r="S98" s="199"/>
      <c r="T98" s="199"/>
      <c r="U98" s="199">
        <f t="shared" si="21"/>
        <v>972</v>
      </c>
      <c r="V98" s="199">
        <v>972</v>
      </c>
      <c r="W98" s="199">
        <f t="shared" si="35"/>
        <v>0</v>
      </c>
      <c r="X98" s="199">
        <f t="shared" si="35"/>
        <v>0</v>
      </c>
      <c r="Y98" s="199">
        <f t="shared" si="35"/>
        <v>0</v>
      </c>
      <c r="Z98" s="199">
        <f t="shared" si="35"/>
        <v>0</v>
      </c>
      <c r="AA98" s="199">
        <f t="shared" si="35"/>
        <v>0</v>
      </c>
      <c r="AB98" s="199">
        <f t="shared" si="35"/>
        <v>0</v>
      </c>
      <c r="AC98" s="199">
        <f t="shared" si="35"/>
        <v>268</v>
      </c>
      <c r="AD98" s="199">
        <f t="shared" si="35"/>
        <v>0</v>
      </c>
      <c r="AE98" s="199">
        <f t="shared" si="35"/>
        <v>0</v>
      </c>
      <c r="AF98" s="199"/>
      <c r="AG98" s="199"/>
      <c r="AH98" s="199"/>
      <c r="AI98" s="199"/>
    </row>
    <row r="99" spans="1:35" hidden="1" x14ac:dyDescent="0.25">
      <c r="A99" s="193" t="s">
        <v>331</v>
      </c>
      <c r="B99" s="206" t="s">
        <v>344</v>
      </c>
      <c r="C99" s="199">
        <f t="shared" si="16"/>
        <v>300</v>
      </c>
      <c r="D99" s="201"/>
      <c r="E99" s="201">
        <f>SUM(F99:N99)</f>
        <v>300</v>
      </c>
      <c r="F99" s="201"/>
      <c r="G99" s="201"/>
      <c r="H99" s="201"/>
      <c r="I99" s="201"/>
      <c r="J99" s="201"/>
      <c r="K99" s="201"/>
      <c r="L99" s="201">
        <v>300</v>
      </c>
      <c r="M99" s="201"/>
      <c r="N99" s="201"/>
      <c r="O99" s="199">
        <f t="shared" si="18"/>
        <v>268</v>
      </c>
      <c r="P99" s="199">
        <f t="shared" si="19"/>
        <v>0</v>
      </c>
      <c r="Q99" s="199">
        <f t="shared" si="20"/>
        <v>268</v>
      </c>
      <c r="R99" s="201"/>
      <c r="S99" s="201"/>
      <c r="T99" s="201"/>
      <c r="U99" s="199">
        <f t="shared" si="21"/>
        <v>268</v>
      </c>
      <c r="V99" s="201">
        <f>SUM(W99:AE99)</f>
        <v>268</v>
      </c>
      <c r="W99" s="201"/>
      <c r="X99" s="201"/>
      <c r="Y99" s="201"/>
      <c r="Z99" s="201"/>
      <c r="AA99" s="201"/>
      <c r="AB99" s="201"/>
      <c r="AC99" s="201">
        <v>268</v>
      </c>
      <c r="AD99" s="201"/>
      <c r="AE99" s="201"/>
      <c r="AF99" s="201"/>
      <c r="AG99" s="199"/>
      <c r="AH99" s="199"/>
      <c r="AI99" s="199"/>
    </row>
    <row r="100" spans="1:35" hidden="1" x14ac:dyDescent="0.25">
      <c r="A100" s="193" t="s">
        <v>428</v>
      </c>
      <c r="B100" s="206" t="s">
        <v>429</v>
      </c>
      <c r="C100" s="199">
        <f t="shared" si="16"/>
        <v>0</v>
      </c>
      <c r="D100" s="201"/>
      <c r="E100" s="201">
        <f>SUM(F100:N100)</f>
        <v>0</v>
      </c>
      <c r="F100" s="201"/>
      <c r="G100" s="201"/>
      <c r="H100" s="201"/>
      <c r="I100" s="201"/>
      <c r="J100" s="201"/>
      <c r="K100" s="201"/>
      <c r="L100" s="201"/>
      <c r="M100" s="201"/>
      <c r="N100" s="201"/>
      <c r="O100" s="199">
        <f t="shared" si="18"/>
        <v>0</v>
      </c>
      <c r="P100" s="199">
        <f t="shared" si="19"/>
        <v>0</v>
      </c>
      <c r="Q100" s="199">
        <f t="shared" si="20"/>
        <v>0</v>
      </c>
      <c r="R100" s="201"/>
      <c r="S100" s="201"/>
      <c r="T100" s="201"/>
      <c r="U100" s="199">
        <f t="shared" si="21"/>
        <v>0</v>
      </c>
      <c r="V100" s="201">
        <f>SUM(W100:AE100)</f>
        <v>0</v>
      </c>
      <c r="W100" s="201"/>
      <c r="X100" s="201"/>
      <c r="Y100" s="201"/>
      <c r="Z100" s="201"/>
      <c r="AA100" s="201"/>
      <c r="AB100" s="201"/>
      <c r="AC100" s="201"/>
      <c r="AD100" s="201"/>
      <c r="AE100" s="201"/>
      <c r="AF100" s="201"/>
      <c r="AG100" s="199"/>
      <c r="AH100" s="199"/>
      <c r="AI100" s="199"/>
    </row>
    <row r="101" spans="1:35" ht="25.5" hidden="1" x14ac:dyDescent="0.25">
      <c r="A101" s="193" t="s">
        <v>430</v>
      </c>
      <c r="B101" s="206" t="s">
        <v>431</v>
      </c>
      <c r="C101" s="199">
        <f t="shared" si="16"/>
        <v>0</v>
      </c>
      <c r="D101" s="201"/>
      <c r="E101" s="201">
        <f>SUM(F101:N101)</f>
        <v>0</v>
      </c>
      <c r="F101" s="201"/>
      <c r="G101" s="201"/>
      <c r="H101" s="201"/>
      <c r="I101" s="201"/>
      <c r="J101" s="201"/>
      <c r="K101" s="201"/>
      <c r="L101" s="201"/>
      <c r="M101" s="201"/>
      <c r="N101" s="201"/>
      <c r="O101" s="199">
        <f t="shared" si="18"/>
        <v>0</v>
      </c>
      <c r="P101" s="199">
        <f t="shared" si="19"/>
        <v>0</v>
      </c>
      <c r="Q101" s="199">
        <f t="shared" si="20"/>
        <v>0</v>
      </c>
      <c r="R101" s="201"/>
      <c r="S101" s="201"/>
      <c r="T101" s="201"/>
      <c r="U101" s="199">
        <f t="shared" si="21"/>
        <v>0</v>
      </c>
      <c r="V101" s="201">
        <f>SUM(W101:AE101)</f>
        <v>0</v>
      </c>
      <c r="W101" s="201"/>
      <c r="X101" s="201"/>
      <c r="Y101" s="201"/>
      <c r="Z101" s="201"/>
      <c r="AA101" s="201"/>
      <c r="AB101" s="201"/>
      <c r="AC101" s="201"/>
      <c r="AD101" s="201"/>
      <c r="AE101" s="201"/>
      <c r="AF101" s="201"/>
      <c r="AG101" s="199"/>
      <c r="AH101" s="199"/>
      <c r="AI101" s="199"/>
    </row>
    <row r="102" spans="1:35" ht="25.5" hidden="1" x14ac:dyDescent="0.25">
      <c r="A102" s="193">
        <v>15</v>
      </c>
      <c r="B102" s="205" t="s">
        <v>432</v>
      </c>
      <c r="C102" s="199">
        <f t="shared" si="16"/>
        <v>0</v>
      </c>
      <c r="D102" s="199"/>
      <c r="E102" s="199">
        <f t="shared" ref="E102:AE102" si="36">SUM(E103:E103)</f>
        <v>0</v>
      </c>
      <c r="F102" s="199">
        <f t="shared" si="36"/>
        <v>0</v>
      </c>
      <c r="G102" s="199">
        <f t="shared" si="36"/>
        <v>0</v>
      </c>
      <c r="H102" s="199">
        <f t="shared" si="36"/>
        <v>0</v>
      </c>
      <c r="I102" s="199">
        <f t="shared" si="36"/>
        <v>0</v>
      </c>
      <c r="J102" s="199">
        <f t="shared" si="36"/>
        <v>0</v>
      </c>
      <c r="K102" s="199">
        <f t="shared" si="36"/>
        <v>0</v>
      </c>
      <c r="L102" s="199">
        <f t="shared" si="36"/>
        <v>0</v>
      </c>
      <c r="M102" s="199">
        <f t="shared" si="36"/>
        <v>0</v>
      </c>
      <c r="N102" s="199">
        <f t="shared" si="36"/>
        <v>0</v>
      </c>
      <c r="O102" s="199">
        <f t="shared" si="18"/>
        <v>0</v>
      </c>
      <c r="P102" s="199">
        <f t="shared" si="19"/>
        <v>0</v>
      </c>
      <c r="Q102" s="199">
        <f t="shared" si="20"/>
        <v>0</v>
      </c>
      <c r="R102" s="199"/>
      <c r="S102" s="199"/>
      <c r="T102" s="199"/>
      <c r="U102" s="199">
        <f t="shared" si="21"/>
        <v>0</v>
      </c>
      <c r="V102" s="199">
        <f t="shared" si="36"/>
        <v>0</v>
      </c>
      <c r="W102" s="199">
        <f t="shared" si="36"/>
        <v>0</v>
      </c>
      <c r="X102" s="199">
        <f t="shared" si="36"/>
        <v>0</v>
      </c>
      <c r="Y102" s="199">
        <f t="shared" si="36"/>
        <v>0</v>
      </c>
      <c r="Z102" s="199">
        <f t="shared" si="36"/>
        <v>0</v>
      </c>
      <c r="AA102" s="199">
        <f t="shared" si="36"/>
        <v>0</v>
      </c>
      <c r="AB102" s="199">
        <f t="shared" si="36"/>
        <v>0</v>
      </c>
      <c r="AC102" s="199">
        <f t="shared" si="36"/>
        <v>0</v>
      </c>
      <c r="AD102" s="199">
        <f t="shared" si="36"/>
        <v>0</v>
      </c>
      <c r="AE102" s="199">
        <f t="shared" si="36"/>
        <v>0</v>
      </c>
      <c r="AF102" s="199"/>
      <c r="AG102" s="199"/>
      <c r="AH102" s="199"/>
      <c r="AI102" s="199"/>
    </row>
    <row r="103" spans="1:35" hidden="1" x14ac:dyDescent="0.25">
      <c r="A103" s="193" t="s">
        <v>433</v>
      </c>
      <c r="B103" s="206" t="s">
        <v>301</v>
      </c>
      <c r="C103" s="199">
        <f t="shared" si="16"/>
        <v>0</v>
      </c>
      <c r="D103" s="201"/>
      <c r="E103" s="201">
        <f>SUM(F103:N103)</f>
        <v>0</v>
      </c>
      <c r="F103" s="201"/>
      <c r="G103" s="201"/>
      <c r="H103" s="201"/>
      <c r="I103" s="201"/>
      <c r="J103" s="201"/>
      <c r="K103" s="201"/>
      <c r="L103" s="201"/>
      <c r="M103" s="201"/>
      <c r="N103" s="201"/>
      <c r="O103" s="199">
        <f t="shared" si="18"/>
        <v>0</v>
      </c>
      <c r="P103" s="199">
        <f t="shared" si="19"/>
        <v>0</v>
      </c>
      <c r="Q103" s="199">
        <f t="shared" si="20"/>
        <v>0</v>
      </c>
      <c r="R103" s="201"/>
      <c r="S103" s="201"/>
      <c r="T103" s="201"/>
      <c r="U103" s="199">
        <f t="shared" si="21"/>
        <v>0</v>
      </c>
      <c r="V103" s="201">
        <f>SUM(W103:AE103)</f>
        <v>0</v>
      </c>
      <c r="W103" s="201"/>
      <c r="X103" s="201"/>
      <c r="Y103" s="201"/>
      <c r="Z103" s="201"/>
      <c r="AA103" s="201"/>
      <c r="AB103" s="201"/>
      <c r="AC103" s="201"/>
      <c r="AD103" s="201"/>
      <c r="AE103" s="201"/>
      <c r="AF103" s="201"/>
      <c r="AG103" s="199"/>
      <c r="AH103" s="199"/>
      <c r="AI103" s="199"/>
    </row>
    <row r="104" spans="1:35" ht="25.5" hidden="1" x14ac:dyDescent="0.25">
      <c r="A104" s="193">
        <v>7</v>
      </c>
      <c r="B104" s="205" t="s">
        <v>432</v>
      </c>
      <c r="C104" s="199"/>
      <c r="D104" s="201"/>
      <c r="E104" s="201"/>
      <c r="F104" s="201"/>
      <c r="G104" s="201"/>
      <c r="H104" s="201"/>
      <c r="I104" s="201"/>
      <c r="J104" s="201"/>
      <c r="K104" s="201"/>
      <c r="L104" s="201"/>
      <c r="M104" s="201"/>
      <c r="N104" s="201"/>
      <c r="O104" s="199"/>
      <c r="P104" s="199"/>
      <c r="Q104" s="199"/>
      <c r="R104" s="201"/>
      <c r="S104" s="201"/>
      <c r="T104" s="201"/>
      <c r="U104" s="199"/>
      <c r="V104" s="201"/>
      <c r="W104" s="201"/>
      <c r="X104" s="201"/>
      <c r="Y104" s="201"/>
      <c r="Z104" s="201"/>
      <c r="AA104" s="201"/>
      <c r="AB104" s="201"/>
      <c r="AC104" s="201"/>
      <c r="AD104" s="201"/>
      <c r="AE104" s="201"/>
      <c r="AF104" s="201"/>
      <c r="AG104" s="199"/>
      <c r="AH104" s="199"/>
      <c r="AI104" s="199"/>
    </row>
    <row r="105" spans="1:35" ht="25.5" x14ac:dyDescent="0.25">
      <c r="A105" s="193">
        <v>7</v>
      </c>
      <c r="B105" s="205" t="s">
        <v>434</v>
      </c>
      <c r="C105" s="199">
        <f t="shared" si="16"/>
        <v>1205</v>
      </c>
      <c r="D105" s="199"/>
      <c r="E105" s="199">
        <v>1205</v>
      </c>
      <c r="F105" s="199">
        <f t="shared" ref="F105:AE105" si="37">SUM(F106:F106)</f>
        <v>0</v>
      </c>
      <c r="G105" s="199">
        <f t="shared" si="37"/>
        <v>0</v>
      </c>
      <c r="H105" s="199">
        <f t="shared" si="37"/>
        <v>0</v>
      </c>
      <c r="I105" s="199">
        <f t="shared" si="37"/>
        <v>0</v>
      </c>
      <c r="J105" s="199">
        <f t="shared" si="37"/>
        <v>0</v>
      </c>
      <c r="K105" s="199">
        <f t="shared" si="37"/>
        <v>0</v>
      </c>
      <c r="L105" s="199">
        <f t="shared" si="37"/>
        <v>0</v>
      </c>
      <c r="M105" s="199">
        <f t="shared" si="37"/>
        <v>0</v>
      </c>
      <c r="N105" s="199">
        <f t="shared" si="37"/>
        <v>324</v>
      </c>
      <c r="O105" s="199">
        <f t="shared" si="18"/>
        <v>1163</v>
      </c>
      <c r="P105" s="199">
        <f t="shared" si="19"/>
        <v>0</v>
      </c>
      <c r="Q105" s="199">
        <f t="shared" si="20"/>
        <v>1163</v>
      </c>
      <c r="R105" s="199"/>
      <c r="S105" s="199"/>
      <c r="T105" s="199"/>
      <c r="U105" s="199">
        <f t="shared" si="21"/>
        <v>1163</v>
      </c>
      <c r="V105" s="199">
        <v>1163</v>
      </c>
      <c r="W105" s="199">
        <f t="shared" si="37"/>
        <v>0</v>
      </c>
      <c r="X105" s="199">
        <f t="shared" si="37"/>
        <v>0</v>
      </c>
      <c r="Y105" s="199">
        <f t="shared" si="37"/>
        <v>0</v>
      </c>
      <c r="Z105" s="199">
        <f t="shared" si="37"/>
        <v>0</v>
      </c>
      <c r="AA105" s="199">
        <f t="shared" si="37"/>
        <v>0</v>
      </c>
      <c r="AB105" s="199">
        <f t="shared" si="37"/>
        <v>0</v>
      </c>
      <c r="AC105" s="199">
        <f t="shared" si="37"/>
        <v>0</v>
      </c>
      <c r="AD105" s="199">
        <f t="shared" si="37"/>
        <v>0</v>
      </c>
      <c r="AE105" s="199">
        <f t="shared" si="37"/>
        <v>140</v>
      </c>
      <c r="AF105" s="199"/>
      <c r="AG105" s="199"/>
      <c r="AH105" s="199"/>
      <c r="AI105" s="199"/>
    </row>
    <row r="106" spans="1:35" hidden="1" x14ac:dyDescent="0.25">
      <c r="A106" s="193" t="s">
        <v>337</v>
      </c>
      <c r="B106" s="206" t="s">
        <v>301</v>
      </c>
      <c r="C106" s="199">
        <f t="shared" ref="C106:C125" si="38">D106+E106</f>
        <v>324</v>
      </c>
      <c r="D106" s="201"/>
      <c r="E106" s="201">
        <f>SUM(F106:N106)</f>
        <v>324</v>
      </c>
      <c r="F106" s="201"/>
      <c r="G106" s="201"/>
      <c r="H106" s="201"/>
      <c r="I106" s="201"/>
      <c r="J106" s="201"/>
      <c r="K106" s="201"/>
      <c r="L106" s="201"/>
      <c r="M106" s="201"/>
      <c r="N106" s="201">
        <v>324</v>
      </c>
      <c r="O106" s="199">
        <f t="shared" ref="O106:O124" si="39">P106+Q106</f>
        <v>140</v>
      </c>
      <c r="P106" s="199">
        <f t="shared" ref="P106:P124" si="40">R106</f>
        <v>0</v>
      </c>
      <c r="Q106" s="199">
        <f t="shared" ref="Q106:Q124" si="41">U106</f>
        <v>140</v>
      </c>
      <c r="R106" s="201"/>
      <c r="S106" s="201"/>
      <c r="T106" s="201"/>
      <c r="U106" s="199">
        <f t="shared" ref="U106:U124" si="42">V106+AF106</f>
        <v>140</v>
      </c>
      <c r="V106" s="201">
        <f>SUM(W106:AE106)</f>
        <v>140</v>
      </c>
      <c r="W106" s="201"/>
      <c r="X106" s="201"/>
      <c r="Y106" s="201"/>
      <c r="Z106" s="201"/>
      <c r="AA106" s="201"/>
      <c r="AB106" s="201"/>
      <c r="AC106" s="201"/>
      <c r="AD106" s="201"/>
      <c r="AE106" s="201">
        <v>140</v>
      </c>
      <c r="AF106" s="201"/>
      <c r="AG106" s="199"/>
      <c r="AH106" s="199"/>
      <c r="AI106" s="199"/>
    </row>
    <row r="107" spans="1:35" x14ac:dyDescent="0.25">
      <c r="A107" s="193">
        <v>8</v>
      </c>
      <c r="B107" s="205" t="s">
        <v>435</v>
      </c>
      <c r="C107" s="199">
        <f t="shared" si="38"/>
        <v>243</v>
      </c>
      <c r="D107" s="199"/>
      <c r="E107" s="199">
        <v>243</v>
      </c>
      <c r="F107" s="199">
        <f t="shared" ref="F107:AE107" si="43">SUM(F108:F109)</f>
        <v>0</v>
      </c>
      <c r="G107" s="199">
        <f t="shared" si="43"/>
        <v>0</v>
      </c>
      <c r="H107" s="199">
        <f t="shared" si="43"/>
        <v>0</v>
      </c>
      <c r="I107" s="199">
        <f t="shared" si="43"/>
        <v>0</v>
      </c>
      <c r="J107" s="199">
        <f t="shared" si="43"/>
        <v>0</v>
      </c>
      <c r="K107" s="199">
        <f t="shared" si="43"/>
        <v>0</v>
      </c>
      <c r="L107" s="199">
        <f t="shared" si="43"/>
        <v>600</v>
      </c>
      <c r="M107" s="199">
        <f t="shared" si="43"/>
        <v>0</v>
      </c>
      <c r="N107" s="199">
        <f t="shared" si="43"/>
        <v>0</v>
      </c>
      <c r="O107" s="199">
        <f t="shared" si="39"/>
        <v>144</v>
      </c>
      <c r="P107" s="199">
        <f t="shared" si="40"/>
        <v>0</v>
      </c>
      <c r="Q107" s="199">
        <f t="shared" si="41"/>
        <v>144</v>
      </c>
      <c r="R107" s="199"/>
      <c r="S107" s="199"/>
      <c r="T107" s="199"/>
      <c r="U107" s="199">
        <f t="shared" si="42"/>
        <v>144</v>
      </c>
      <c r="V107" s="199">
        <v>144</v>
      </c>
      <c r="W107" s="199">
        <f t="shared" si="43"/>
        <v>0</v>
      </c>
      <c r="X107" s="199">
        <f t="shared" si="43"/>
        <v>0</v>
      </c>
      <c r="Y107" s="199">
        <f t="shared" si="43"/>
        <v>0</v>
      </c>
      <c r="Z107" s="199">
        <f t="shared" si="43"/>
        <v>0</v>
      </c>
      <c r="AA107" s="199">
        <f t="shared" si="43"/>
        <v>0</v>
      </c>
      <c r="AB107" s="199">
        <f t="shared" si="43"/>
        <v>0</v>
      </c>
      <c r="AC107" s="199">
        <f t="shared" si="43"/>
        <v>642</v>
      </c>
      <c r="AD107" s="199">
        <f t="shared" si="43"/>
        <v>0</v>
      </c>
      <c r="AE107" s="199">
        <f t="shared" si="43"/>
        <v>0</v>
      </c>
      <c r="AF107" s="199"/>
      <c r="AG107" s="199"/>
      <c r="AH107" s="199"/>
      <c r="AI107" s="199"/>
    </row>
    <row r="108" spans="1:35" hidden="1" x14ac:dyDescent="0.25">
      <c r="A108" s="200" t="s">
        <v>343</v>
      </c>
      <c r="B108" s="206" t="s">
        <v>301</v>
      </c>
      <c r="C108" s="199">
        <f t="shared" si="38"/>
        <v>600</v>
      </c>
      <c r="D108" s="201"/>
      <c r="E108" s="201">
        <f>SUM(F108:N108)</f>
        <v>600</v>
      </c>
      <c r="F108" s="201"/>
      <c r="G108" s="201"/>
      <c r="H108" s="201"/>
      <c r="I108" s="201"/>
      <c r="J108" s="201"/>
      <c r="K108" s="201"/>
      <c r="L108" s="201">
        <v>600</v>
      </c>
      <c r="M108" s="201"/>
      <c r="N108" s="201"/>
      <c r="O108" s="199">
        <f t="shared" si="39"/>
        <v>642</v>
      </c>
      <c r="P108" s="199">
        <f t="shared" si="40"/>
        <v>0</v>
      </c>
      <c r="Q108" s="199">
        <f t="shared" si="41"/>
        <v>642</v>
      </c>
      <c r="R108" s="201"/>
      <c r="S108" s="201"/>
      <c r="T108" s="201"/>
      <c r="U108" s="199">
        <f t="shared" si="42"/>
        <v>642</v>
      </c>
      <c r="V108" s="201">
        <f>SUM(W108:AE108)</f>
        <v>642</v>
      </c>
      <c r="W108" s="201"/>
      <c r="X108" s="201"/>
      <c r="Y108" s="201"/>
      <c r="Z108" s="201"/>
      <c r="AA108" s="201"/>
      <c r="AB108" s="201"/>
      <c r="AC108" s="201">
        <v>642</v>
      </c>
      <c r="AD108" s="201"/>
      <c r="AE108" s="201"/>
      <c r="AF108" s="201"/>
      <c r="AG108" s="199"/>
      <c r="AH108" s="199"/>
      <c r="AI108" s="199"/>
    </row>
    <row r="109" spans="1:35" ht="25.5" hidden="1" x14ac:dyDescent="0.25">
      <c r="A109" s="200" t="s">
        <v>436</v>
      </c>
      <c r="B109" s="206" t="s">
        <v>437</v>
      </c>
      <c r="C109" s="199">
        <f t="shared" si="38"/>
        <v>0</v>
      </c>
      <c r="D109" s="201"/>
      <c r="E109" s="201">
        <f>SUM(F109:N109)</f>
        <v>0</v>
      </c>
      <c r="F109" s="201"/>
      <c r="G109" s="201"/>
      <c r="H109" s="201"/>
      <c r="I109" s="201"/>
      <c r="J109" s="201"/>
      <c r="K109" s="201"/>
      <c r="L109" s="201"/>
      <c r="M109" s="201"/>
      <c r="N109" s="201"/>
      <c r="O109" s="199">
        <f t="shared" si="39"/>
        <v>0</v>
      </c>
      <c r="P109" s="199">
        <f t="shared" si="40"/>
        <v>0</v>
      </c>
      <c r="Q109" s="199">
        <f t="shared" si="41"/>
        <v>0</v>
      </c>
      <c r="R109" s="201"/>
      <c r="S109" s="201"/>
      <c r="T109" s="201"/>
      <c r="U109" s="199">
        <f t="shared" si="42"/>
        <v>0</v>
      </c>
      <c r="V109" s="201">
        <f>SUM(W109:AE109)</f>
        <v>0</v>
      </c>
      <c r="W109" s="201"/>
      <c r="X109" s="201"/>
      <c r="Y109" s="201"/>
      <c r="Z109" s="201"/>
      <c r="AA109" s="201"/>
      <c r="AB109" s="201"/>
      <c r="AC109" s="201"/>
      <c r="AD109" s="201"/>
      <c r="AE109" s="201"/>
      <c r="AF109" s="201"/>
      <c r="AG109" s="199"/>
      <c r="AH109" s="199"/>
      <c r="AI109" s="199"/>
    </row>
    <row r="110" spans="1:35" hidden="1" x14ac:dyDescent="0.25">
      <c r="A110" s="193">
        <v>18</v>
      </c>
      <c r="B110" s="205" t="s">
        <v>438</v>
      </c>
      <c r="C110" s="199">
        <f t="shared" si="38"/>
        <v>0</v>
      </c>
      <c r="D110" s="199"/>
      <c r="E110" s="199">
        <f>SUM(F110:N110)</f>
        <v>0</v>
      </c>
      <c r="F110" s="199"/>
      <c r="G110" s="199"/>
      <c r="H110" s="199"/>
      <c r="I110" s="199"/>
      <c r="J110" s="199"/>
      <c r="K110" s="199"/>
      <c r="L110" s="199"/>
      <c r="M110" s="199"/>
      <c r="N110" s="199"/>
      <c r="O110" s="199">
        <f t="shared" si="39"/>
        <v>0</v>
      </c>
      <c r="P110" s="199">
        <f t="shared" si="40"/>
        <v>0</v>
      </c>
      <c r="Q110" s="199">
        <f t="shared" si="41"/>
        <v>0</v>
      </c>
      <c r="R110" s="199"/>
      <c r="S110" s="199"/>
      <c r="T110" s="199"/>
      <c r="U110" s="199">
        <f t="shared" si="42"/>
        <v>0</v>
      </c>
      <c r="V110" s="199">
        <f>SUM(W110:AE110)</f>
        <v>0</v>
      </c>
      <c r="W110" s="199"/>
      <c r="X110" s="199"/>
      <c r="Y110" s="199"/>
      <c r="Z110" s="199"/>
      <c r="AA110" s="199"/>
      <c r="AB110" s="199"/>
      <c r="AC110" s="199"/>
      <c r="AD110" s="199"/>
      <c r="AE110" s="199"/>
      <c r="AF110" s="199"/>
      <c r="AG110" s="199"/>
      <c r="AH110" s="199"/>
      <c r="AI110" s="199"/>
    </row>
    <row r="111" spans="1:35" hidden="1" x14ac:dyDescent="0.25">
      <c r="A111" s="193">
        <v>19</v>
      </c>
      <c r="B111" s="205" t="s">
        <v>210</v>
      </c>
      <c r="C111" s="199">
        <f t="shared" si="38"/>
        <v>0</v>
      </c>
      <c r="D111" s="199"/>
      <c r="E111" s="199">
        <f>SUM(F111:N111)</f>
        <v>0</v>
      </c>
      <c r="F111" s="199"/>
      <c r="G111" s="199"/>
      <c r="H111" s="199"/>
      <c r="I111" s="199"/>
      <c r="J111" s="199"/>
      <c r="K111" s="199"/>
      <c r="L111" s="199"/>
      <c r="M111" s="199"/>
      <c r="N111" s="199"/>
      <c r="O111" s="199">
        <f t="shared" si="39"/>
        <v>0</v>
      </c>
      <c r="P111" s="199">
        <f t="shared" si="40"/>
        <v>0</v>
      </c>
      <c r="Q111" s="199">
        <f t="shared" si="41"/>
        <v>0</v>
      </c>
      <c r="R111" s="199"/>
      <c r="S111" s="199"/>
      <c r="T111" s="199"/>
      <c r="U111" s="199">
        <f t="shared" si="42"/>
        <v>0</v>
      </c>
      <c r="V111" s="199">
        <f>SUM(W111:AE111)</f>
        <v>0</v>
      </c>
      <c r="W111" s="199"/>
      <c r="X111" s="199"/>
      <c r="Y111" s="199"/>
      <c r="Z111" s="199"/>
      <c r="AA111" s="199"/>
      <c r="AB111" s="199"/>
      <c r="AC111" s="199"/>
      <c r="AD111" s="199"/>
      <c r="AE111" s="199"/>
      <c r="AF111" s="199"/>
      <c r="AG111" s="199"/>
      <c r="AH111" s="199"/>
      <c r="AI111" s="199"/>
    </row>
    <row r="112" spans="1:35" ht="25.5" x14ac:dyDescent="0.25">
      <c r="A112" s="193">
        <v>9</v>
      </c>
      <c r="B112" s="205" t="s">
        <v>559</v>
      </c>
      <c r="C112" s="199">
        <f t="shared" si="38"/>
        <v>1057</v>
      </c>
      <c r="D112" s="199"/>
      <c r="E112" s="199">
        <v>1057</v>
      </c>
      <c r="F112" s="199"/>
      <c r="G112" s="199"/>
      <c r="H112" s="199"/>
      <c r="I112" s="199"/>
      <c r="J112" s="199"/>
      <c r="K112" s="199"/>
      <c r="L112" s="199">
        <v>300</v>
      </c>
      <c r="M112" s="199"/>
      <c r="N112" s="199"/>
      <c r="O112" s="199">
        <f t="shared" si="39"/>
        <v>1005</v>
      </c>
      <c r="P112" s="199">
        <f t="shared" si="40"/>
        <v>0</v>
      </c>
      <c r="Q112" s="199">
        <f t="shared" si="41"/>
        <v>1005</v>
      </c>
      <c r="R112" s="199"/>
      <c r="S112" s="199"/>
      <c r="T112" s="199"/>
      <c r="U112" s="199">
        <f t="shared" si="42"/>
        <v>1005</v>
      </c>
      <c r="V112" s="199">
        <v>1005</v>
      </c>
      <c r="W112" s="199"/>
      <c r="X112" s="199"/>
      <c r="Y112" s="199"/>
      <c r="Z112" s="199"/>
      <c r="AA112" s="199"/>
      <c r="AB112" s="199"/>
      <c r="AC112" s="199">
        <v>210</v>
      </c>
      <c r="AD112" s="199"/>
      <c r="AE112" s="199"/>
      <c r="AF112" s="199"/>
      <c r="AG112" s="199"/>
      <c r="AH112" s="199"/>
      <c r="AI112" s="199"/>
    </row>
    <row r="113" spans="1:35" x14ac:dyDescent="0.25">
      <c r="A113" s="193">
        <v>10</v>
      </c>
      <c r="B113" s="199" t="s">
        <v>211</v>
      </c>
      <c r="C113" s="199">
        <f t="shared" si="38"/>
        <v>5337</v>
      </c>
      <c r="D113" s="199"/>
      <c r="E113" s="199">
        <v>5337</v>
      </c>
      <c r="F113" s="199">
        <f t="shared" ref="F113:AE113" si="44">SUM(F114:F114)</f>
        <v>0</v>
      </c>
      <c r="G113" s="199">
        <f t="shared" si="44"/>
        <v>0</v>
      </c>
      <c r="H113" s="199">
        <f t="shared" si="44"/>
        <v>0</v>
      </c>
      <c r="I113" s="199">
        <f t="shared" si="44"/>
        <v>0</v>
      </c>
      <c r="J113" s="199">
        <f t="shared" si="44"/>
        <v>0</v>
      </c>
      <c r="K113" s="199">
        <f t="shared" si="44"/>
        <v>0</v>
      </c>
      <c r="L113" s="199">
        <f t="shared" si="44"/>
        <v>0</v>
      </c>
      <c r="M113" s="199">
        <f t="shared" si="44"/>
        <v>0</v>
      </c>
      <c r="N113" s="199">
        <f t="shared" si="44"/>
        <v>1407</v>
      </c>
      <c r="O113" s="199">
        <f t="shared" si="39"/>
        <v>5079</v>
      </c>
      <c r="P113" s="199">
        <f t="shared" si="40"/>
        <v>0</v>
      </c>
      <c r="Q113" s="199">
        <f t="shared" si="41"/>
        <v>5079</v>
      </c>
      <c r="R113" s="199"/>
      <c r="S113" s="199"/>
      <c r="T113" s="199"/>
      <c r="U113" s="199">
        <f t="shared" si="42"/>
        <v>5079</v>
      </c>
      <c r="V113" s="199">
        <v>5079</v>
      </c>
      <c r="W113" s="199">
        <f t="shared" si="44"/>
        <v>0</v>
      </c>
      <c r="X113" s="199">
        <f t="shared" si="44"/>
        <v>0</v>
      </c>
      <c r="Y113" s="199">
        <f t="shared" si="44"/>
        <v>0</v>
      </c>
      <c r="Z113" s="199">
        <f t="shared" si="44"/>
        <v>0</v>
      </c>
      <c r="AA113" s="199">
        <f t="shared" si="44"/>
        <v>0</v>
      </c>
      <c r="AB113" s="199">
        <f t="shared" si="44"/>
        <v>0</v>
      </c>
      <c r="AC113" s="199">
        <f t="shared" si="44"/>
        <v>0</v>
      </c>
      <c r="AD113" s="199">
        <f t="shared" si="44"/>
        <v>0</v>
      </c>
      <c r="AE113" s="199">
        <f t="shared" si="44"/>
        <v>901</v>
      </c>
      <c r="AF113" s="199"/>
      <c r="AG113" s="199"/>
      <c r="AH113" s="199"/>
      <c r="AI113" s="199"/>
    </row>
    <row r="114" spans="1:35" hidden="1" x14ac:dyDescent="0.25">
      <c r="A114" s="200" t="s">
        <v>349</v>
      </c>
      <c r="B114" s="201" t="s">
        <v>439</v>
      </c>
      <c r="C114" s="199">
        <f t="shared" si="38"/>
        <v>1407</v>
      </c>
      <c r="D114" s="201"/>
      <c r="E114" s="201">
        <f>SUM(F114:N114)</f>
        <v>1407</v>
      </c>
      <c r="F114" s="201"/>
      <c r="G114" s="201"/>
      <c r="H114" s="201"/>
      <c r="I114" s="201"/>
      <c r="J114" s="201"/>
      <c r="K114" s="201"/>
      <c r="L114" s="201"/>
      <c r="M114" s="201"/>
      <c r="N114" s="201">
        <v>1407</v>
      </c>
      <c r="O114" s="199">
        <f t="shared" si="39"/>
        <v>901</v>
      </c>
      <c r="P114" s="199">
        <f t="shared" si="40"/>
        <v>0</v>
      </c>
      <c r="Q114" s="199">
        <f t="shared" si="41"/>
        <v>901</v>
      </c>
      <c r="R114" s="201"/>
      <c r="S114" s="201"/>
      <c r="T114" s="201"/>
      <c r="U114" s="199">
        <f t="shared" si="42"/>
        <v>901</v>
      </c>
      <c r="V114" s="201">
        <f>SUM(W114:AE114)</f>
        <v>901</v>
      </c>
      <c r="W114" s="201"/>
      <c r="X114" s="201"/>
      <c r="Y114" s="201"/>
      <c r="Z114" s="201"/>
      <c r="AA114" s="201"/>
      <c r="AB114" s="201"/>
      <c r="AC114" s="201"/>
      <c r="AD114" s="201"/>
      <c r="AE114" s="201">
        <v>901</v>
      </c>
      <c r="AF114" s="201"/>
      <c r="AG114" s="199"/>
      <c r="AH114" s="199"/>
      <c r="AI114" s="199"/>
    </row>
    <row r="115" spans="1:35" hidden="1" x14ac:dyDescent="0.25">
      <c r="A115" s="193">
        <v>22</v>
      </c>
      <c r="B115" s="199" t="s">
        <v>212</v>
      </c>
      <c r="C115" s="199">
        <f t="shared" si="38"/>
        <v>0</v>
      </c>
      <c r="D115" s="199"/>
      <c r="E115" s="199">
        <f>SUM(F115:N115)</f>
        <v>0</v>
      </c>
      <c r="F115" s="199"/>
      <c r="G115" s="199"/>
      <c r="H115" s="199"/>
      <c r="I115" s="199"/>
      <c r="J115" s="199"/>
      <c r="K115" s="199"/>
      <c r="L115" s="199"/>
      <c r="M115" s="199"/>
      <c r="N115" s="199"/>
      <c r="O115" s="199">
        <f t="shared" si="39"/>
        <v>0</v>
      </c>
      <c r="P115" s="199">
        <f t="shared" si="40"/>
        <v>0</v>
      </c>
      <c r="Q115" s="199">
        <f t="shared" si="41"/>
        <v>0</v>
      </c>
      <c r="R115" s="199"/>
      <c r="S115" s="199"/>
      <c r="T115" s="199"/>
      <c r="U115" s="199">
        <f t="shared" si="42"/>
        <v>0</v>
      </c>
      <c r="V115" s="199">
        <f>SUM(W115:AE115)</f>
        <v>0</v>
      </c>
      <c r="W115" s="199"/>
      <c r="X115" s="199"/>
      <c r="Y115" s="199"/>
      <c r="Z115" s="199"/>
      <c r="AA115" s="199"/>
      <c r="AB115" s="199"/>
      <c r="AC115" s="199"/>
      <c r="AD115" s="199"/>
      <c r="AE115" s="199"/>
      <c r="AF115" s="199"/>
      <c r="AG115" s="199"/>
      <c r="AH115" s="199"/>
      <c r="AI115" s="199"/>
    </row>
    <row r="116" spans="1:35" ht="16.5" customHeight="1" x14ac:dyDescent="0.25">
      <c r="A116" s="193">
        <v>11</v>
      </c>
      <c r="B116" s="203" t="s">
        <v>494</v>
      </c>
      <c r="C116" s="199">
        <f t="shared" si="38"/>
        <v>20</v>
      </c>
      <c r="D116" s="199"/>
      <c r="E116" s="199">
        <v>20</v>
      </c>
      <c r="F116" s="199">
        <f t="shared" ref="F116:AE116" si="45">SUM(F117:F117)</f>
        <v>0</v>
      </c>
      <c r="G116" s="199">
        <f t="shared" si="45"/>
        <v>0</v>
      </c>
      <c r="H116" s="199">
        <f t="shared" si="45"/>
        <v>0</v>
      </c>
      <c r="I116" s="199">
        <f t="shared" si="45"/>
        <v>0</v>
      </c>
      <c r="J116" s="199">
        <f t="shared" si="45"/>
        <v>0</v>
      </c>
      <c r="K116" s="199">
        <f t="shared" si="45"/>
        <v>0</v>
      </c>
      <c r="L116" s="199">
        <f t="shared" si="45"/>
        <v>15</v>
      </c>
      <c r="M116" s="199">
        <f t="shared" si="45"/>
        <v>0</v>
      </c>
      <c r="N116" s="199">
        <f t="shared" si="45"/>
        <v>0</v>
      </c>
      <c r="O116" s="199">
        <f t="shared" si="39"/>
        <v>20</v>
      </c>
      <c r="P116" s="199">
        <f t="shared" si="40"/>
        <v>0</v>
      </c>
      <c r="Q116" s="199">
        <f t="shared" si="41"/>
        <v>20</v>
      </c>
      <c r="R116" s="199"/>
      <c r="S116" s="199"/>
      <c r="T116" s="199"/>
      <c r="U116" s="199">
        <f t="shared" si="42"/>
        <v>20</v>
      </c>
      <c r="V116" s="199">
        <v>20</v>
      </c>
      <c r="W116" s="199">
        <f t="shared" si="45"/>
        <v>0</v>
      </c>
      <c r="X116" s="199">
        <f t="shared" si="45"/>
        <v>0</v>
      </c>
      <c r="Y116" s="199">
        <f t="shared" si="45"/>
        <v>0</v>
      </c>
      <c r="Z116" s="199">
        <f t="shared" si="45"/>
        <v>0</v>
      </c>
      <c r="AA116" s="199">
        <f t="shared" si="45"/>
        <v>0</v>
      </c>
      <c r="AB116" s="199">
        <f t="shared" si="45"/>
        <v>0</v>
      </c>
      <c r="AC116" s="199">
        <f t="shared" si="45"/>
        <v>15</v>
      </c>
      <c r="AD116" s="199">
        <f t="shared" si="45"/>
        <v>0</v>
      </c>
      <c r="AE116" s="199">
        <f t="shared" si="45"/>
        <v>0</v>
      </c>
      <c r="AF116" s="199"/>
      <c r="AG116" s="199"/>
      <c r="AH116" s="199"/>
      <c r="AI116" s="199"/>
    </row>
    <row r="117" spans="1:35" ht="25.5" hidden="1" x14ac:dyDescent="0.25">
      <c r="A117" s="200" t="s">
        <v>355</v>
      </c>
      <c r="B117" s="201" t="s">
        <v>440</v>
      </c>
      <c r="C117" s="199">
        <f t="shared" si="38"/>
        <v>15</v>
      </c>
      <c r="D117" s="201"/>
      <c r="E117" s="201">
        <f t="shared" ref="E117:E124" si="46">SUM(F117:N117)</f>
        <v>15</v>
      </c>
      <c r="F117" s="201"/>
      <c r="G117" s="201"/>
      <c r="H117" s="201"/>
      <c r="I117" s="201"/>
      <c r="J117" s="201"/>
      <c r="K117" s="201"/>
      <c r="L117" s="201">
        <v>15</v>
      </c>
      <c r="M117" s="201"/>
      <c r="N117" s="201"/>
      <c r="O117" s="199">
        <f t="shared" si="39"/>
        <v>15</v>
      </c>
      <c r="P117" s="199">
        <f t="shared" si="40"/>
        <v>0</v>
      </c>
      <c r="Q117" s="199">
        <f t="shared" si="41"/>
        <v>15</v>
      </c>
      <c r="R117" s="201"/>
      <c r="S117" s="201"/>
      <c r="T117" s="201"/>
      <c r="U117" s="199">
        <f t="shared" si="42"/>
        <v>15</v>
      </c>
      <c r="V117" s="201">
        <f t="shared" ref="V117:V124" si="47">SUM(W117:AE117)</f>
        <v>15</v>
      </c>
      <c r="W117" s="201"/>
      <c r="X117" s="201"/>
      <c r="Y117" s="201"/>
      <c r="Z117" s="201"/>
      <c r="AA117" s="201"/>
      <c r="AB117" s="201"/>
      <c r="AC117" s="201">
        <v>15</v>
      </c>
      <c r="AD117" s="201"/>
      <c r="AE117" s="201"/>
      <c r="AF117" s="201"/>
      <c r="AG117" s="199"/>
      <c r="AH117" s="199"/>
      <c r="AI117" s="199"/>
    </row>
    <row r="118" spans="1:35" x14ac:dyDescent="0.25">
      <c r="A118" s="193">
        <v>12</v>
      </c>
      <c r="B118" s="199" t="s">
        <v>215</v>
      </c>
      <c r="C118" s="199">
        <f t="shared" si="38"/>
        <v>138</v>
      </c>
      <c r="D118" s="199"/>
      <c r="E118" s="199">
        <v>138</v>
      </c>
      <c r="F118" s="199"/>
      <c r="G118" s="199"/>
      <c r="H118" s="199"/>
      <c r="I118" s="199"/>
      <c r="J118" s="199"/>
      <c r="K118" s="199"/>
      <c r="L118" s="199"/>
      <c r="M118" s="199"/>
      <c r="N118" s="199"/>
      <c r="O118" s="199"/>
      <c r="P118" s="199"/>
      <c r="Q118" s="199"/>
      <c r="R118" s="199"/>
      <c r="S118" s="199"/>
      <c r="T118" s="199"/>
      <c r="U118" s="199">
        <f t="shared" si="42"/>
        <v>38</v>
      </c>
      <c r="V118" s="199">
        <v>38</v>
      </c>
      <c r="W118" s="199"/>
      <c r="X118" s="199"/>
      <c r="Y118" s="199"/>
      <c r="Z118" s="199"/>
      <c r="AA118" s="199"/>
      <c r="AB118" s="199"/>
      <c r="AC118" s="199"/>
      <c r="AD118" s="199"/>
      <c r="AE118" s="199"/>
      <c r="AF118" s="199"/>
      <c r="AG118" s="199"/>
      <c r="AH118" s="199"/>
      <c r="AI118" s="199"/>
    </row>
    <row r="119" spans="1:35" x14ac:dyDescent="0.25">
      <c r="A119" s="193">
        <v>12</v>
      </c>
      <c r="B119" s="199" t="s">
        <v>240</v>
      </c>
      <c r="C119" s="199">
        <f t="shared" ref="C119" si="48">D119+E119</f>
        <v>150</v>
      </c>
      <c r="D119" s="199"/>
      <c r="E119" s="199">
        <v>150</v>
      </c>
      <c r="F119" s="199"/>
      <c r="G119" s="199"/>
      <c r="H119" s="199"/>
      <c r="I119" s="199"/>
      <c r="J119" s="199"/>
      <c r="K119" s="199"/>
      <c r="L119" s="199"/>
      <c r="M119" s="199"/>
      <c r="N119" s="199"/>
      <c r="O119" s="199"/>
      <c r="P119" s="199"/>
      <c r="Q119" s="199"/>
      <c r="R119" s="199"/>
      <c r="S119" s="199"/>
      <c r="T119" s="199"/>
      <c r="U119" s="199">
        <f t="shared" ref="U119" si="49">V119+AF119</f>
        <v>129</v>
      </c>
      <c r="V119" s="199">
        <v>129</v>
      </c>
      <c r="W119" s="199"/>
      <c r="X119" s="199"/>
      <c r="Y119" s="199"/>
      <c r="Z119" s="199"/>
      <c r="AA119" s="199"/>
      <c r="AB119" s="199"/>
      <c r="AC119" s="199"/>
      <c r="AD119" s="199"/>
      <c r="AE119" s="199"/>
      <c r="AF119" s="199"/>
      <c r="AG119" s="199"/>
      <c r="AH119" s="199"/>
      <c r="AI119" s="199"/>
    </row>
    <row r="120" spans="1:35" ht="13.5" customHeight="1" x14ac:dyDescent="0.25">
      <c r="A120" s="193">
        <v>13</v>
      </c>
      <c r="B120" s="199" t="s">
        <v>458</v>
      </c>
      <c r="C120" s="199">
        <f>D120+E120</f>
        <v>307</v>
      </c>
      <c r="D120" s="199"/>
      <c r="E120" s="199">
        <v>307</v>
      </c>
      <c r="F120" s="199"/>
      <c r="G120" s="199"/>
      <c r="H120" s="199"/>
      <c r="I120" s="199"/>
      <c r="J120" s="199"/>
      <c r="K120" s="199"/>
      <c r="L120" s="199"/>
      <c r="M120" s="199"/>
      <c r="N120" s="199"/>
      <c r="O120" s="199">
        <f t="shared" si="39"/>
        <v>307</v>
      </c>
      <c r="P120" s="199">
        <f>R120</f>
        <v>0</v>
      </c>
      <c r="Q120" s="199">
        <f>U120</f>
        <v>307</v>
      </c>
      <c r="R120" s="199">
        <f>S120+T120</f>
        <v>0</v>
      </c>
      <c r="S120" s="199"/>
      <c r="T120" s="199"/>
      <c r="U120" s="199">
        <f t="shared" si="42"/>
        <v>307</v>
      </c>
      <c r="V120" s="199">
        <v>307</v>
      </c>
      <c r="W120" s="199"/>
      <c r="X120" s="199"/>
      <c r="Y120" s="199"/>
      <c r="Z120" s="199"/>
      <c r="AA120" s="199"/>
      <c r="AB120" s="199"/>
      <c r="AC120" s="199"/>
      <c r="AD120" s="199"/>
      <c r="AE120" s="199"/>
      <c r="AF120" s="199"/>
      <c r="AG120" s="199"/>
      <c r="AH120" s="199"/>
      <c r="AI120" s="199"/>
    </row>
    <row r="121" spans="1:35" hidden="1" x14ac:dyDescent="0.25">
      <c r="A121" s="193">
        <v>25</v>
      </c>
      <c r="B121" s="199"/>
      <c r="C121" s="199">
        <f t="shared" si="38"/>
        <v>0</v>
      </c>
      <c r="D121" s="199"/>
      <c r="E121" s="199">
        <f t="shared" si="46"/>
        <v>0</v>
      </c>
      <c r="F121" s="199"/>
      <c r="G121" s="199"/>
      <c r="H121" s="199"/>
      <c r="I121" s="199"/>
      <c r="J121" s="199"/>
      <c r="K121" s="199"/>
      <c r="L121" s="199"/>
      <c r="M121" s="199"/>
      <c r="N121" s="199"/>
      <c r="O121" s="199">
        <f t="shared" si="39"/>
        <v>0</v>
      </c>
      <c r="P121" s="199">
        <f t="shared" si="40"/>
        <v>0</v>
      </c>
      <c r="Q121" s="199">
        <f t="shared" si="41"/>
        <v>0</v>
      </c>
      <c r="R121" s="199"/>
      <c r="S121" s="199"/>
      <c r="T121" s="199"/>
      <c r="U121" s="199">
        <f t="shared" si="42"/>
        <v>0</v>
      </c>
      <c r="V121" s="199">
        <f t="shared" si="47"/>
        <v>0</v>
      </c>
      <c r="W121" s="199"/>
      <c r="X121" s="199"/>
      <c r="Y121" s="199"/>
      <c r="Z121" s="199"/>
      <c r="AA121" s="199"/>
      <c r="AB121" s="199"/>
      <c r="AC121" s="199"/>
      <c r="AD121" s="199"/>
      <c r="AE121" s="199"/>
      <c r="AF121" s="199"/>
      <c r="AG121" s="199" t="e">
        <f t="shared" ref="AG121:AI126" si="50">O121/C121*100</f>
        <v>#DIV/0!</v>
      </c>
      <c r="AH121" s="199" t="e">
        <f t="shared" si="50"/>
        <v>#DIV/0!</v>
      </c>
      <c r="AI121" s="199" t="e">
        <f t="shared" si="50"/>
        <v>#DIV/0!</v>
      </c>
    </row>
    <row r="122" spans="1:35" hidden="1" x14ac:dyDescent="0.25">
      <c r="A122" s="193">
        <v>26</v>
      </c>
      <c r="B122" s="199" t="s">
        <v>441</v>
      </c>
      <c r="C122" s="199">
        <f t="shared" si="38"/>
        <v>0</v>
      </c>
      <c r="D122" s="199"/>
      <c r="E122" s="199">
        <f t="shared" si="46"/>
        <v>0</v>
      </c>
      <c r="F122" s="199"/>
      <c r="G122" s="199"/>
      <c r="H122" s="199"/>
      <c r="I122" s="199"/>
      <c r="J122" s="199"/>
      <c r="K122" s="199"/>
      <c r="L122" s="199"/>
      <c r="M122" s="199"/>
      <c r="N122" s="199"/>
      <c r="O122" s="199">
        <f t="shared" si="39"/>
        <v>0</v>
      </c>
      <c r="P122" s="199">
        <f t="shared" si="40"/>
        <v>0</v>
      </c>
      <c r="Q122" s="199">
        <f t="shared" si="41"/>
        <v>0</v>
      </c>
      <c r="R122" s="199"/>
      <c r="S122" s="199"/>
      <c r="T122" s="199"/>
      <c r="U122" s="199">
        <f t="shared" si="42"/>
        <v>0</v>
      </c>
      <c r="V122" s="199">
        <f t="shared" si="47"/>
        <v>0</v>
      </c>
      <c r="W122" s="199"/>
      <c r="X122" s="199"/>
      <c r="Y122" s="199"/>
      <c r="Z122" s="199"/>
      <c r="AA122" s="199"/>
      <c r="AB122" s="199"/>
      <c r="AC122" s="199"/>
      <c r="AD122" s="199"/>
      <c r="AE122" s="199"/>
      <c r="AF122" s="199"/>
      <c r="AG122" s="199" t="e">
        <f t="shared" si="50"/>
        <v>#DIV/0!</v>
      </c>
      <c r="AH122" s="199" t="e">
        <f t="shared" si="50"/>
        <v>#DIV/0!</v>
      </c>
      <c r="AI122" s="199" t="e">
        <f t="shared" si="50"/>
        <v>#DIV/0!</v>
      </c>
    </row>
    <row r="123" spans="1:35" hidden="1" x14ac:dyDescent="0.25">
      <c r="A123" s="193">
        <v>27</v>
      </c>
      <c r="B123" s="199" t="s">
        <v>217</v>
      </c>
      <c r="C123" s="199">
        <f t="shared" si="38"/>
        <v>0</v>
      </c>
      <c r="D123" s="199"/>
      <c r="E123" s="199">
        <f t="shared" si="46"/>
        <v>0</v>
      </c>
      <c r="F123" s="199"/>
      <c r="G123" s="199"/>
      <c r="H123" s="199"/>
      <c r="I123" s="199"/>
      <c r="J123" s="199"/>
      <c r="K123" s="199"/>
      <c r="L123" s="199"/>
      <c r="M123" s="199"/>
      <c r="N123" s="199"/>
      <c r="O123" s="199">
        <f t="shared" si="39"/>
        <v>0</v>
      </c>
      <c r="P123" s="199">
        <f t="shared" si="40"/>
        <v>0</v>
      </c>
      <c r="Q123" s="199">
        <f t="shared" si="41"/>
        <v>0</v>
      </c>
      <c r="R123" s="199"/>
      <c r="S123" s="199"/>
      <c r="T123" s="199"/>
      <c r="U123" s="199">
        <f t="shared" si="42"/>
        <v>0</v>
      </c>
      <c r="V123" s="199">
        <f t="shared" si="47"/>
        <v>0</v>
      </c>
      <c r="W123" s="199"/>
      <c r="X123" s="199"/>
      <c r="Y123" s="199"/>
      <c r="Z123" s="199"/>
      <c r="AA123" s="199"/>
      <c r="AB123" s="199"/>
      <c r="AC123" s="199"/>
      <c r="AD123" s="199"/>
      <c r="AE123" s="199"/>
      <c r="AF123" s="199"/>
      <c r="AG123" s="199" t="e">
        <f t="shared" si="50"/>
        <v>#DIV/0!</v>
      </c>
      <c r="AH123" s="199" t="e">
        <f t="shared" si="50"/>
        <v>#DIV/0!</v>
      </c>
      <c r="AI123" s="199" t="e">
        <f t="shared" si="50"/>
        <v>#DIV/0!</v>
      </c>
    </row>
    <row r="124" spans="1:35" hidden="1" x14ac:dyDescent="0.25">
      <c r="A124" s="193">
        <v>28</v>
      </c>
      <c r="B124" s="199" t="s">
        <v>442</v>
      </c>
      <c r="C124" s="199">
        <f t="shared" si="38"/>
        <v>0</v>
      </c>
      <c r="D124" s="199"/>
      <c r="E124" s="199">
        <f t="shared" si="46"/>
        <v>0</v>
      </c>
      <c r="F124" s="199"/>
      <c r="G124" s="199"/>
      <c r="H124" s="199"/>
      <c r="I124" s="199"/>
      <c r="J124" s="199"/>
      <c r="K124" s="199"/>
      <c r="L124" s="199"/>
      <c r="M124" s="199"/>
      <c r="N124" s="199"/>
      <c r="O124" s="199">
        <f t="shared" si="39"/>
        <v>0</v>
      </c>
      <c r="P124" s="199">
        <f t="shared" si="40"/>
        <v>0</v>
      </c>
      <c r="Q124" s="199">
        <f t="shared" si="41"/>
        <v>0</v>
      </c>
      <c r="R124" s="199"/>
      <c r="S124" s="199"/>
      <c r="T124" s="199"/>
      <c r="U124" s="199">
        <f t="shared" si="42"/>
        <v>0</v>
      </c>
      <c r="V124" s="199">
        <f t="shared" si="47"/>
        <v>0</v>
      </c>
      <c r="W124" s="199"/>
      <c r="X124" s="199"/>
      <c r="Y124" s="199"/>
      <c r="Z124" s="199"/>
      <c r="AA124" s="199"/>
      <c r="AB124" s="199"/>
      <c r="AC124" s="199"/>
      <c r="AD124" s="199"/>
      <c r="AE124" s="199"/>
      <c r="AF124" s="199"/>
      <c r="AG124" s="199" t="e">
        <f t="shared" si="50"/>
        <v>#DIV/0!</v>
      </c>
      <c r="AH124" s="199" t="e">
        <f t="shared" si="50"/>
        <v>#DIV/0!</v>
      </c>
      <c r="AI124" s="199" t="e">
        <f t="shared" si="50"/>
        <v>#DIV/0!</v>
      </c>
    </row>
    <row r="125" spans="1:35" x14ac:dyDescent="0.25">
      <c r="A125" s="193">
        <v>14</v>
      </c>
      <c r="B125" s="199" t="s">
        <v>554</v>
      </c>
      <c r="C125" s="199">
        <f t="shared" si="38"/>
        <v>22</v>
      </c>
      <c r="D125" s="199"/>
      <c r="E125" s="199">
        <v>22</v>
      </c>
      <c r="F125" s="199"/>
      <c r="G125" s="199"/>
      <c r="H125" s="199"/>
      <c r="I125" s="199"/>
      <c r="J125" s="199"/>
      <c r="K125" s="199"/>
      <c r="L125" s="199"/>
      <c r="M125" s="199"/>
      <c r="N125" s="199"/>
      <c r="O125" s="199"/>
      <c r="P125" s="199"/>
      <c r="Q125" s="199"/>
      <c r="R125" s="199"/>
      <c r="S125" s="199"/>
      <c r="T125" s="199"/>
      <c r="U125" s="199"/>
      <c r="V125" s="199"/>
      <c r="W125" s="199"/>
      <c r="X125" s="199"/>
      <c r="Y125" s="199"/>
      <c r="Z125" s="199"/>
      <c r="AA125" s="199"/>
      <c r="AB125" s="199"/>
      <c r="AC125" s="199"/>
      <c r="AD125" s="199"/>
      <c r="AE125" s="199"/>
      <c r="AF125" s="199"/>
      <c r="AG125" s="199"/>
      <c r="AH125" s="199"/>
      <c r="AI125" s="199"/>
    </row>
    <row r="126" spans="1:35" s="198" customFormat="1" ht="16.899999999999999" customHeight="1" x14ac:dyDescent="0.25">
      <c r="A126" s="192" t="s">
        <v>7</v>
      </c>
      <c r="B126" s="196" t="s">
        <v>60</v>
      </c>
      <c r="C126" s="196">
        <f>SUM(C127:C136)</f>
        <v>181914</v>
      </c>
      <c r="D126" s="196">
        <f t="shared" ref="D126:S126" si="51">SUM(D127:D136)</f>
        <v>160366</v>
      </c>
      <c r="E126" s="196">
        <f t="shared" si="51"/>
        <v>21548</v>
      </c>
      <c r="F126" s="196">
        <f t="shared" si="51"/>
        <v>0</v>
      </c>
      <c r="G126" s="196">
        <f t="shared" si="51"/>
        <v>0</v>
      </c>
      <c r="H126" s="196">
        <f t="shared" si="51"/>
        <v>0</v>
      </c>
      <c r="I126" s="196">
        <f t="shared" si="51"/>
        <v>0</v>
      </c>
      <c r="J126" s="196">
        <f t="shared" si="51"/>
        <v>0</v>
      </c>
      <c r="K126" s="196">
        <f t="shared" si="51"/>
        <v>0</v>
      </c>
      <c r="L126" s="196">
        <f t="shared" si="51"/>
        <v>15375</v>
      </c>
      <c r="M126" s="196">
        <f t="shared" si="51"/>
        <v>0</v>
      </c>
      <c r="N126" s="196">
        <f t="shared" si="51"/>
        <v>4384</v>
      </c>
      <c r="O126" s="196">
        <f t="shared" si="51"/>
        <v>173109</v>
      </c>
      <c r="P126" s="196">
        <f t="shared" si="51"/>
        <v>155268</v>
      </c>
      <c r="Q126" s="196">
        <f t="shared" si="51"/>
        <v>17841</v>
      </c>
      <c r="R126" s="196">
        <f t="shared" si="51"/>
        <v>155268</v>
      </c>
      <c r="S126" s="196">
        <f t="shared" si="51"/>
        <v>155268</v>
      </c>
      <c r="T126" s="196">
        <f>SUM(T127:T136)</f>
        <v>0</v>
      </c>
      <c r="U126" s="196">
        <f>V126+AF126</f>
        <v>17841</v>
      </c>
      <c r="V126" s="196">
        <f>SUM(V127:V136)</f>
        <v>17841</v>
      </c>
      <c r="W126" s="196">
        <f t="shared" ref="W126:AF126" si="52">SUM(W127:W136)</f>
        <v>194</v>
      </c>
      <c r="X126" s="196">
        <f t="shared" si="52"/>
        <v>0</v>
      </c>
      <c r="Y126" s="196">
        <f t="shared" si="52"/>
        <v>0</v>
      </c>
      <c r="Z126" s="196">
        <f t="shared" si="52"/>
        <v>0</v>
      </c>
      <c r="AA126" s="196">
        <f t="shared" si="52"/>
        <v>0</v>
      </c>
      <c r="AB126" s="196">
        <f t="shared" si="52"/>
        <v>0</v>
      </c>
      <c r="AC126" s="196">
        <f t="shared" si="52"/>
        <v>10420</v>
      </c>
      <c r="AD126" s="196">
        <f t="shared" si="52"/>
        <v>0</v>
      </c>
      <c r="AE126" s="196">
        <f t="shared" si="52"/>
        <v>2684</v>
      </c>
      <c r="AF126" s="196">
        <f t="shared" si="52"/>
        <v>0</v>
      </c>
      <c r="AG126" s="197">
        <f t="shared" si="50"/>
        <v>95.159800784986317</v>
      </c>
      <c r="AH126" s="197">
        <f t="shared" si="50"/>
        <v>96.821021912375443</v>
      </c>
      <c r="AI126" s="197">
        <f t="shared" si="50"/>
        <v>82.796547243363648</v>
      </c>
    </row>
    <row r="127" spans="1:35" ht="15" customHeight="1" x14ac:dyDescent="0.25">
      <c r="A127" s="193">
        <v>1</v>
      </c>
      <c r="B127" s="199" t="s">
        <v>254</v>
      </c>
      <c r="C127" s="199">
        <f>D127+E127</f>
        <v>4615</v>
      </c>
      <c r="D127" s="199">
        <f>3896</f>
        <v>3896</v>
      </c>
      <c r="E127" s="199">
        <f>570+149</f>
        <v>719</v>
      </c>
      <c r="F127" s="199"/>
      <c r="G127" s="199"/>
      <c r="H127" s="199"/>
      <c r="I127" s="199"/>
      <c r="J127" s="199"/>
      <c r="K127" s="199"/>
      <c r="L127" s="199">
        <v>537</v>
      </c>
      <c r="M127" s="199"/>
      <c r="N127" s="199"/>
      <c r="O127" s="199">
        <f>SUM(P127:Q127)</f>
        <v>2182</v>
      </c>
      <c r="P127" s="199">
        <f>R127</f>
        <v>1698</v>
      </c>
      <c r="Q127" s="199">
        <f>U127</f>
        <v>484</v>
      </c>
      <c r="R127" s="199">
        <f>SUM(S127:T127)</f>
        <v>1698</v>
      </c>
      <c r="S127" s="199">
        <f>1698</f>
        <v>1698</v>
      </c>
      <c r="T127" s="199"/>
      <c r="U127" s="199">
        <f>V127+AF127</f>
        <v>484</v>
      </c>
      <c r="V127" s="199">
        <f>416+68</f>
        <v>484</v>
      </c>
      <c r="W127" s="199"/>
      <c r="X127" s="199"/>
      <c r="Y127" s="199"/>
      <c r="Z127" s="199"/>
      <c r="AA127" s="199"/>
      <c r="AB127" s="199"/>
      <c r="AC127" s="199">
        <v>438</v>
      </c>
      <c r="AD127" s="199"/>
      <c r="AE127" s="199">
        <v>0</v>
      </c>
      <c r="AF127" s="199"/>
      <c r="AG127" s="202"/>
      <c r="AH127" s="202"/>
      <c r="AI127" s="202"/>
    </row>
    <row r="128" spans="1:35" ht="15" customHeight="1" x14ac:dyDescent="0.25">
      <c r="A128" s="193">
        <v>2</v>
      </c>
      <c r="B128" s="199" t="s">
        <v>443</v>
      </c>
      <c r="C128" s="199">
        <f>D128+E128</f>
        <v>16347</v>
      </c>
      <c r="D128" s="199">
        <f>12534+1375</f>
        <v>13909</v>
      </c>
      <c r="E128" s="199">
        <f>1915+523</f>
        <v>2438</v>
      </c>
      <c r="F128" s="199"/>
      <c r="G128" s="199"/>
      <c r="H128" s="199"/>
      <c r="I128" s="199"/>
      <c r="J128" s="199"/>
      <c r="K128" s="199"/>
      <c r="L128" s="199">
        <v>1540</v>
      </c>
      <c r="M128" s="199"/>
      <c r="N128" s="199">
        <v>368</v>
      </c>
      <c r="O128" s="199">
        <f t="shared" ref="O128:O136" si="53">SUM(P128:Q128)</f>
        <v>15580</v>
      </c>
      <c r="P128" s="199">
        <f t="shared" ref="P128:P136" si="54">R128</f>
        <v>13516</v>
      </c>
      <c r="Q128" s="199">
        <f t="shared" ref="Q128:Q136" si="55">U128</f>
        <v>2064</v>
      </c>
      <c r="R128" s="199">
        <f t="shared" ref="R128:R136" si="56">SUM(S128:T128)</f>
        <v>13516</v>
      </c>
      <c r="S128" s="199">
        <f>11048+2468</f>
        <v>13516</v>
      </c>
      <c r="T128" s="199"/>
      <c r="U128" s="199">
        <f>V128+AF128</f>
        <v>2064</v>
      </c>
      <c r="V128" s="199">
        <f>1626+355+83</f>
        <v>2064</v>
      </c>
      <c r="W128" s="199"/>
      <c r="X128" s="199"/>
      <c r="Y128" s="199"/>
      <c r="Z128" s="199"/>
      <c r="AA128" s="199"/>
      <c r="AB128" s="199"/>
      <c r="AC128" s="199">
        <v>1459</v>
      </c>
      <c r="AD128" s="199"/>
      <c r="AE128" s="199">
        <v>288</v>
      </c>
      <c r="AF128" s="199"/>
      <c r="AG128" s="202"/>
      <c r="AH128" s="202"/>
      <c r="AI128" s="202"/>
    </row>
    <row r="129" spans="1:35" ht="15" customHeight="1" x14ac:dyDescent="0.25">
      <c r="A129" s="193">
        <v>3</v>
      </c>
      <c r="B129" s="199" t="s">
        <v>444</v>
      </c>
      <c r="C129" s="199">
        <f t="shared" ref="C129:C136" si="57">D129+E129</f>
        <v>32329</v>
      </c>
      <c r="D129" s="199">
        <f>25195+4126</f>
        <v>29321</v>
      </c>
      <c r="E129" s="199">
        <f>1615+1393</f>
        <v>3008</v>
      </c>
      <c r="F129" s="199"/>
      <c r="G129" s="199"/>
      <c r="H129" s="199"/>
      <c r="I129" s="199"/>
      <c r="J129" s="199"/>
      <c r="K129" s="199"/>
      <c r="L129" s="199">
        <v>2695</v>
      </c>
      <c r="M129" s="199"/>
      <c r="N129" s="199">
        <v>1049</v>
      </c>
      <c r="O129" s="199">
        <f t="shared" si="53"/>
        <v>27077</v>
      </c>
      <c r="P129" s="199">
        <f t="shared" si="54"/>
        <v>24476</v>
      </c>
      <c r="Q129" s="199">
        <f t="shared" si="55"/>
        <v>2601</v>
      </c>
      <c r="R129" s="199">
        <f t="shared" si="56"/>
        <v>24476</v>
      </c>
      <c r="S129" s="199">
        <f>21074+3402</f>
        <v>24476</v>
      </c>
      <c r="T129" s="199"/>
      <c r="U129" s="199">
        <f t="shared" ref="U129:U136" si="58">V129+AF129</f>
        <v>2601</v>
      </c>
      <c r="V129" s="199">
        <f>1325+1232+44</f>
        <v>2601</v>
      </c>
      <c r="W129" s="199">
        <v>18</v>
      </c>
      <c r="X129" s="199"/>
      <c r="Y129" s="199"/>
      <c r="Z129" s="199"/>
      <c r="AA129" s="199"/>
      <c r="AB129" s="199"/>
      <c r="AC129" s="199">
        <v>2648</v>
      </c>
      <c r="AD129" s="199"/>
      <c r="AE129" s="199">
        <v>1125</v>
      </c>
      <c r="AF129" s="199"/>
      <c r="AG129" s="202"/>
      <c r="AH129" s="202"/>
      <c r="AI129" s="202"/>
    </row>
    <row r="130" spans="1:35" ht="15" customHeight="1" x14ac:dyDescent="0.25">
      <c r="A130" s="193">
        <v>4</v>
      </c>
      <c r="B130" s="199" t="s">
        <v>445</v>
      </c>
      <c r="C130" s="199">
        <f t="shared" si="57"/>
        <v>30037</v>
      </c>
      <c r="D130" s="199">
        <f>23774+3497</f>
        <v>27271</v>
      </c>
      <c r="E130" s="199">
        <f>1520+1246</f>
        <v>2766</v>
      </c>
      <c r="F130" s="199"/>
      <c r="G130" s="199"/>
      <c r="H130" s="199"/>
      <c r="I130" s="199"/>
      <c r="J130" s="199"/>
      <c r="K130" s="199"/>
      <c r="L130" s="199">
        <v>2598</v>
      </c>
      <c r="M130" s="199"/>
      <c r="N130" s="199">
        <v>996</v>
      </c>
      <c r="O130" s="199">
        <f t="shared" si="53"/>
        <v>29012</v>
      </c>
      <c r="P130" s="199">
        <f t="shared" si="54"/>
        <v>26847</v>
      </c>
      <c r="Q130" s="199">
        <f t="shared" si="55"/>
        <v>2165</v>
      </c>
      <c r="R130" s="199">
        <f t="shared" si="56"/>
        <v>26847</v>
      </c>
      <c r="S130" s="199">
        <f>22976+3871</f>
        <v>26847</v>
      </c>
      <c r="T130" s="199"/>
      <c r="U130" s="199">
        <f t="shared" si="58"/>
        <v>2165</v>
      </c>
      <c r="V130" s="199">
        <f>1074+1031+60</f>
        <v>2165</v>
      </c>
      <c r="W130" s="199">
        <v>176</v>
      </c>
      <c r="X130" s="199"/>
      <c r="Y130" s="199"/>
      <c r="Z130" s="199"/>
      <c r="AA130" s="199"/>
      <c r="AB130" s="199"/>
      <c r="AC130" s="199">
        <v>644</v>
      </c>
      <c r="AD130" s="199"/>
      <c r="AE130" s="199">
        <v>246</v>
      </c>
      <c r="AF130" s="199"/>
      <c r="AG130" s="202"/>
      <c r="AH130" s="202"/>
      <c r="AI130" s="202"/>
    </row>
    <row r="131" spans="1:35" ht="15" customHeight="1" x14ac:dyDescent="0.25">
      <c r="A131" s="193">
        <v>5</v>
      </c>
      <c r="B131" s="199" t="s">
        <v>446</v>
      </c>
      <c r="C131" s="199">
        <f t="shared" si="57"/>
        <v>25631</v>
      </c>
      <c r="D131" s="199">
        <f>20661+1143</f>
        <v>21804</v>
      </c>
      <c r="E131" s="199">
        <f>3375+452</f>
        <v>3827</v>
      </c>
      <c r="F131" s="199"/>
      <c r="G131" s="199"/>
      <c r="H131" s="199"/>
      <c r="I131" s="199"/>
      <c r="J131" s="199"/>
      <c r="K131" s="199"/>
      <c r="L131" s="199">
        <v>1792</v>
      </c>
      <c r="M131" s="199"/>
      <c r="N131" s="199">
        <v>314</v>
      </c>
      <c r="O131" s="199">
        <f t="shared" si="53"/>
        <v>25220</v>
      </c>
      <c r="P131" s="199">
        <f t="shared" si="54"/>
        <v>21463</v>
      </c>
      <c r="Q131" s="199">
        <f t="shared" si="55"/>
        <v>3757</v>
      </c>
      <c r="R131" s="199">
        <f t="shared" si="56"/>
        <v>21463</v>
      </c>
      <c r="S131" s="199">
        <f>20069+1394</f>
        <v>21463</v>
      </c>
      <c r="T131" s="199"/>
      <c r="U131" s="199">
        <f t="shared" si="58"/>
        <v>3757</v>
      </c>
      <c r="V131" s="199">
        <v>3757</v>
      </c>
      <c r="W131" s="199"/>
      <c r="X131" s="199"/>
      <c r="Y131" s="199"/>
      <c r="Z131" s="199"/>
      <c r="AA131" s="199"/>
      <c r="AB131" s="199"/>
      <c r="AC131" s="199">
        <v>1148</v>
      </c>
      <c r="AD131" s="199"/>
      <c r="AE131" s="199">
        <v>13</v>
      </c>
      <c r="AF131" s="199"/>
      <c r="AG131" s="202"/>
      <c r="AH131" s="202"/>
      <c r="AI131" s="202"/>
    </row>
    <row r="132" spans="1:35" ht="15" customHeight="1" x14ac:dyDescent="0.25">
      <c r="A132" s="193">
        <v>6</v>
      </c>
      <c r="B132" s="199" t="s">
        <v>447</v>
      </c>
      <c r="C132" s="199">
        <f t="shared" si="57"/>
        <v>5109</v>
      </c>
      <c r="D132" s="199">
        <v>4188</v>
      </c>
      <c r="E132" s="199">
        <f>825+96</f>
        <v>921</v>
      </c>
      <c r="F132" s="199"/>
      <c r="G132" s="199"/>
      <c r="H132" s="199"/>
      <c r="I132" s="199"/>
      <c r="J132" s="199"/>
      <c r="K132" s="199"/>
      <c r="L132" s="199">
        <v>726</v>
      </c>
      <c r="M132" s="199"/>
      <c r="N132" s="199">
        <v>0</v>
      </c>
      <c r="O132" s="199">
        <f t="shared" si="53"/>
        <v>5201</v>
      </c>
      <c r="P132" s="199">
        <f t="shared" si="54"/>
        <v>4647</v>
      </c>
      <c r="Q132" s="199">
        <f t="shared" si="55"/>
        <v>554</v>
      </c>
      <c r="R132" s="199">
        <f t="shared" si="56"/>
        <v>4647</v>
      </c>
      <c r="S132" s="199">
        <f>4647</f>
        <v>4647</v>
      </c>
      <c r="T132" s="199"/>
      <c r="U132" s="199">
        <f t="shared" si="58"/>
        <v>554</v>
      </c>
      <c r="V132" s="199">
        <f>507+47</f>
        <v>554</v>
      </c>
      <c r="W132" s="199"/>
      <c r="X132" s="199"/>
      <c r="Y132" s="199"/>
      <c r="Z132" s="199"/>
      <c r="AA132" s="199"/>
      <c r="AB132" s="199"/>
      <c r="AC132" s="199">
        <v>912</v>
      </c>
      <c r="AD132" s="199"/>
      <c r="AE132" s="199">
        <v>0</v>
      </c>
      <c r="AF132" s="199"/>
      <c r="AG132" s="202"/>
      <c r="AH132" s="202"/>
      <c r="AI132" s="202"/>
    </row>
    <row r="133" spans="1:35" ht="15" customHeight="1" x14ac:dyDescent="0.25">
      <c r="A133" s="193">
        <v>7</v>
      </c>
      <c r="B133" s="199" t="s">
        <v>448</v>
      </c>
      <c r="C133" s="199">
        <f t="shared" si="57"/>
        <v>22537</v>
      </c>
      <c r="D133" s="199">
        <f>19216+1425</f>
        <v>20641</v>
      </c>
      <c r="E133" s="199">
        <f>1095+801</f>
        <v>1896</v>
      </c>
      <c r="F133" s="199"/>
      <c r="G133" s="199"/>
      <c r="H133" s="199"/>
      <c r="I133" s="199"/>
      <c r="J133" s="199"/>
      <c r="K133" s="199"/>
      <c r="L133" s="199">
        <v>1284</v>
      </c>
      <c r="M133" s="199"/>
      <c r="N133" s="199">
        <f>109+688</f>
        <v>797</v>
      </c>
      <c r="O133" s="199">
        <f t="shared" si="53"/>
        <v>20613</v>
      </c>
      <c r="P133" s="199">
        <f t="shared" si="54"/>
        <v>19442</v>
      </c>
      <c r="Q133" s="199">
        <f t="shared" si="55"/>
        <v>1171</v>
      </c>
      <c r="R133" s="199">
        <f t="shared" si="56"/>
        <v>19442</v>
      </c>
      <c r="S133" s="199">
        <f>18697+348+397</f>
        <v>19442</v>
      </c>
      <c r="T133" s="199"/>
      <c r="U133" s="199">
        <f t="shared" si="58"/>
        <v>1171</v>
      </c>
      <c r="V133" s="199">
        <f>677+97+28+65+304</f>
        <v>1171</v>
      </c>
      <c r="W133" s="199"/>
      <c r="X133" s="199"/>
      <c r="Y133" s="199"/>
      <c r="Z133" s="199"/>
      <c r="AA133" s="199"/>
      <c r="AB133" s="199"/>
      <c r="AC133" s="199">
        <v>482</v>
      </c>
      <c r="AD133" s="199"/>
      <c r="AE133" s="199">
        <v>84</v>
      </c>
      <c r="AF133" s="199"/>
      <c r="AG133" s="202"/>
      <c r="AH133" s="202"/>
      <c r="AI133" s="202"/>
    </row>
    <row r="134" spans="1:35" ht="15" customHeight="1" x14ac:dyDescent="0.25">
      <c r="A134" s="193">
        <v>8</v>
      </c>
      <c r="B134" s="199" t="s">
        <v>449</v>
      </c>
      <c r="C134" s="199">
        <f t="shared" si="57"/>
        <v>22156</v>
      </c>
      <c r="D134" s="199">
        <v>18937</v>
      </c>
      <c r="E134" s="199">
        <f>3068+151</f>
        <v>3219</v>
      </c>
      <c r="F134" s="199"/>
      <c r="G134" s="199"/>
      <c r="H134" s="199"/>
      <c r="I134" s="199"/>
      <c r="J134" s="199"/>
      <c r="K134" s="199"/>
      <c r="L134" s="199">
        <v>2150</v>
      </c>
      <c r="M134" s="199"/>
      <c r="N134" s="199">
        <v>218</v>
      </c>
      <c r="O134" s="199">
        <f t="shared" si="53"/>
        <v>25598</v>
      </c>
      <c r="P134" s="199">
        <f t="shared" si="54"/>
        <v>22711</v>
      </c>
      <c r="Q134" s="199">
        <f t="shared" si="55"/>
        <v>2887</v>
      </c>
      <c r="R134" s="199">
        <f t="shared" si="56"/>
        <v>22711</v>
      </c>
      <c r="S134" s="199">
        <f>22643+68</f>
        <v>22711</v>
      </c>
      <c r="T134" s="199"/>
      <c r="U134" s="199">
        <f t="shared" si="58"/>
        <v>2887</v>
      </c>
      <c r="V134" s="199">
        <f>2753+7+127</f>
        <v>2887</v>
      </c>
      <c r="W134" s="199"/>
      <c r="X134" s="199"/>
      <c r="Y134" s="199"/>
      <c r="Z134" s="199"/>
      <c r="AA134" s="199"/>
      <c r="AB134" s="199"/>
      <c r="AC134" s="199">
        <v>936</v>
      </c>
      <c r="AD134" s="199"/>
      <c r="AE134" s="199">
        <v>176</v>
      </c>
      <c r="AF134" s="199"/>
      <c r="AG134" s="202"/>
      <c r="AH134" s="202"/>
      <c r="AI134" s="202"/>
    </row>
    <row r="135" spans="1:35" ht="15" customHeight="1" x14ac:dyDescent="0.25">
      <c r="A135" s="193">
        <v>9</v>
      </c>
      <c r="B135" s="199" t="s">
        <v>450</v>
      </c>
      <c r="C135" s="199">
        <f t="shared" si="57"/>
        <v>19681</v>
      </c>
      <c r="D135" s="199">
        <f>15453+2024</f>
        <v>17477</v>
      </c>
      <c r="E135" s="199">
        <f>1465+739</f>
        <v>2204</v>
      </c>
      <c r="F135" s="199"/>
      <c r="G135" s="199"/>
      <c r="H135" s="199"/>
      <c r="I135" s="199"/>
      <c r="J135" s="199"/>
      <c r="K135" s="199"/>
      <c r="L135" s="199">
        <v>1442</v>
      </c>
      <c r="M135" s="199"/>
      <c r="N135" s="199">
        <v>642</v>
      </c>
      <c r="O135" s="199">
        <f t="shared" si="53"/>
        <v>19474</v>
      </c>
      <c r="P135" s="199">
        <f t="shared" si="54"/>
        <v>17677</v>
      </c>
      <c r="Q135" s="199">
        <f t="shared" si="55"/>
        <v>1797</v>
      </c>
      <c r="R135" s="199">
        <f t="shared" si="56"/>
        <v>17677</v>
      </c>
      <c r="S135" s="199">
        <f>15285+2392</f>
        <v>17677</v>
      </c>
      <c r="T135" s="199"/>
      <c r="U135" s="199">
        <f t="shared" si="58"/>
        <v>1797</v>
      </c>
      <c r="V135" s="199">
        <f>1027+639+131</f>
        <v>1797</v>
      </c>
      <c r="W135" s="199"/>
      <c r="X135" s="199"/>
      <c r="Y135" s="199"/>
      <c r="Z135" s="199"/>
      <c r="AA135" s="199"/>
      <c r="AB135" s="199"/>
      <c r="AC135" s="199">
        <v>1168</v>
      </c>
      <c r="AD135" s="199"/>
      <c r="AE135" s="199">
        <v>642</v>
      </c>
      <c r="AF135" s="199"/>
      <c r="AG135" s="202"/>
      <c r="AH135" s="202"/>
      <c r="AI135" s="202"/>
    </row>
    <row r="136" spans="1:35" ht="15" customHeight="1" x14ac:dyDescent="0.25">
      <c r="A136" s="193">
        <v>10</v>
      </c>
      <c r="B136" s="199" t="s">
        <v>451</v>
      </c>
      <c r="C136" s="199">
        <f t="shared" si="57"/>
        <v>3472</v>
      </c>
      <c r="D136" s="199">
        <v>2922</v>
      </c>
      <c r="E136" s="199">
        <f>510+40</f>
        <v>550</v>
      </c>
      <c r="F136" s="199"/>
      <c r="G136" s="199"/>
      <c r="H136" s="199"/>
      <c r="I136" s="199"/>
      <c r="J136" s="199"/>
      <c r="K136" s="199"/>
      <c r="L136" s="199">
        <v>611</v>
      </c>
      <c r="M136" s="199"/>
      <c r="N136" s="199">
        <v>0</v>
      </c>
      <c r="O136" s="199">
        <f t="shared" si="53"/>
        <v>3152</v>
      </c>
      <c r="P136" s="199">
        <f t="shared" si="54"/>
        <v>2791</v>
      </c>
      <c r="Q136" s="199">
        <f t="shared" si="55"/>
        <v>361</v>
      </c>
      <c r="R136" s="199">
        <f t="shared" si="56"/>
        <v>2791</v>
      </c>
      <c r="S136" s="199">
        <f>2791</f>
        <v>2791</v>
      </c>
      <c r="T136" s="199"/>
      <c r="U136" s="199">
        <f t="shared" si="58"/>
        <v>361</v>
      </c>
      <c r="V136" s="199">
        <f>328+33</f>
        <v>361</v>
      </c>
      <c r="W136" s="199"/>
      <c r="X136" s="199"/>
      <c r="Y136" s="199"/>
      <c r="Z136" s="199"/>
      <c r="AA136" s="199"/>
      <c r="AB136" s="199"/>
      <c r="AC136" s="199">
        <v>585</v>
      </c>
      <c r="AD136" s="199"/>
      <c r="AE136" s="199">
        <v>110</v>
      </c>
      <c r="AF136" s="199"/>
      <c r="AG136" s="202"/>
      <c r="AH136" s="202"/>
      <c r="AI136" s="202"/>
    </row>
    <row r="137" spans="1:35" s="82" customFormat="1" ht="14.25" x14ac:dyDescent="0.25">
      <c r="A137" s="83"/>
      <c r="B137" s="83"/>
      <c r="C137" s="83"/>
      <c r="D137" s="83"/>
      <c r="E137" s="84"/>
      <c r="F137" s="85"/>
      <c r="G137" s="84"/>
      <c r="H137" s="84"/>
      <c r="I137" s="84"/>
      <c r="J137" s="84"/>
      <c r="K137" s="84"/>
      <c r="L137" s="84"/>
      <c r="M137" s="84"/>
      <c r="N137" s="84"/>
      <c r="O137" s="84"/>
      <c r="P137" s="84"/>
      <c r="Q137" s="84"/>
      <c r="R137" s="84"/>
      <c r="S137" s="84"/>
      <c r="T137" s="84"/>
      <c r="U137" s="84"/>
      <c r="V137" s="84"/>
      <c r="W137" s="85"/>
      <c r="X137" s="84"/>
      <c r="Y137" s="84"/>
      <c r="Z137" s="84"/>
      <c r="AA137" s="84"/>
      <c r="AB137" s="84"/>
      <c r="AC137" s="84"/>
      <c r="AD137" s="84"/>
      <c r="AE137" s="84"/>
      <c r="AF137" s="84"/>
      <c r="AG137" s="84"/>
      <c r="AH137" s="84"/>
      <c r="AI137" s="86"/>
    </row>
    <row r="138" spans="1:35" ht="15.75" customHeight="1" x14ac:dyDescent="0.25">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row>
    <row r="139" spans="1:35" x14ac:dyDescent="0.25">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row>
    <row r="140" spans="1:35" x14ac:dyDescent="0.25">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row>
    <row r="141" spans="1:35" x14ac:dyDescent="0.25">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row>
    <row r="142" spans="1:35" x14ac:dyDescent="0.25">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row>
  </sheetData>
  <mergeCells count="29">
    <mergeCell ref="Q9:Q11"/>
    <mergeCell ref="AH9:AH11"/>
    <mergeCell ref="P8:Q8"/>
    <mergeCell ref="R8:AF8"/>
    <mergeCell ref="AG8:AG11"/>
    <mergeCell ref="AH8:AI8"/>
    <mergeCell ref="AI9:AI11"/>
    <mergeCell ref="R9:T9"/>
    <mergeCell ref="U9:AF9"/>
    <mergeCell ref="R10:R11"/>
    <mergeCell ref="S10:T10"/>
    <mergeCell ref="U10:U11"/>
    <mergeCell ref="V10:AF10"/>
    <mergeCell ref="U1:AI1"/>
    <mergeCell ref="A3:AI3"/>
    <mergeCell ref="A4:AI4"/>
    <mergeCell ref="C7:N7"/>
    <mergeCell ref="O7:AF7"/>
    <mergeCell ref="AG7:AI7"/>
    <mergeCell ref="A7:A11"/>
    <mergeCell ref="B7:B11"/>
    <mergeCell ref="C8:C11"/>
    <mergeCell ref="D8:E8"/>
    <mergeCell ref="D9:D11"/>
    <mergeCell ref="E9:E11"/>
    <mergeCell ref="O8:O11"/>
    <mergeCell ref="F9:N10"/>
    <mergeCell ref="P9:P11"/>
    <mergeCell ref="AG6:AI6"/>
  </mergeCells>
  <pageMargins left="0.6" right="0.5" top="0.7" bottom="0.6" header="0.2" footer="0.2"/>
  <pageSetup paperSize="9" orientation="landscape" r:id="rId1"/>
  <headerFooter>
    <oddHeader>&amp;R Biểu số 11</oddHeader>
    <oddFooter>&amp;C &amp;P</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3"/>
  <sheetViews>
    <sheetView workbookViewId="0">
      <selection activeCell="J7" sqref="J7"/>
    </sheetView>
  </sheetViews>
  <sheetFormatPr defaultRowHeight="15.75" x14ac:dyDescent="0.25"/>
  <cols>
    <col min="1" max="1" width="5.42578125" style="138" customWidth="1"/>
    <col min="2" max="2" width="38.7109375" style="141" customWidth="1"/>
    <col min="3" max="3" width="15.140625" style="142" customWidth="1"/>
    <col min="4" max="4" width="14.7109375" style="142" customWidth="1"/>
    <col min="5" max="5" width="14.7109375" style="143" customWidth="1"/>
    <col min="6" max="6" width="34" style="107" hidden="1" customWidth="1"/>
    <col min="7" max="8" width="15.42578125" style="108" hidden="1" customWidth="1"/>
    <col min="9" max="9" width="12.42578125" style="108" bestFit="1" customWidth="1"/>
    <col min="10" max="256" width="9.140625" style="108"/>
    <col min="257" max="257" width="5.42578125" style="108" customWidth="1"/>
    <col min="258" max="258" width="41.28515625" style="108" customWidth="1"/>
    <col min="259" max="259" width="15.140625" style="108" customWidth="1"/>
    <col min="260" max="260" width="20.140625" style="108" customWidth="1"/>
    <col min="261" max="261" width="15" style="108" customWidth="1"/>
    <col min="262" max="264" width="0" style="108" hidden="1" customWidth="1"/>
    <col min="265" max="265" width="12.42578125" style="108" bestFit="1" customWidth="1"/>
    <col min="266" max="512" width="9.140625" style="108"/>
    <col min="513" max="513" width="5.42578125" style="108" customWidth="1"/>
    <col min="514" max="514" width="41.28515625" style="108" customWidth="1"/>
    <col min="515" max="515" width="15.140625" style="108" customWidth="1"/>
    <col min="516" max="516" width="20.140625" style="108" customWidth="1"/>
    <col min="517" max="517" width="15" style="108" customWidth="1"/>
    <col min="518" max="520" width="0" style="108" hidden="1" customWidth="1"/>
    <col min="521" max="521" width="12.42578125" style="108" bestFit="1" customWidth="1"/>
    <col min="522" max="768" width="9.140625" style="108"/>
    <col min="769" max="769" width="5.42578125" style="108" customWidth="1"/>
    <col min="770" max="770" width="41.28515625" style="108" customWidth="1"/>
    <col min="771" max="771" width="15.140625" style="108" customWidth="1"/>
    <col min="772" max="772" width="20.140625" style="108" customWidth="1"/>
    <col min="773" max="773" width="15" style="108" customWidth="1"/>
    <col min="774" max="776" width="0" style="108" hidden="1" customWidth="1"/>
    <col min="777" max="777" width="12.42578125" style="108" bestFit="1" customWidth="1"/>
    <col min="778" max="1024" width="9.140625" style="108"/>
    <col min="1025" max="1025" width="5.42578125" style="108" customWidth="1"/>
    <col min="1026" max="1026" width="41.28515625" style="108" customWidth="1"/>
    <col min="1027" max="1027" width="15.140625" style="108" customWidth="1"/>
    <col min="1028" max="1028" width="20.140625" style="108" customWidth="1"/>
    <col min="1029" max="1029" width="15" style="108" customWidth="1"/>
    <col min="1030" max="1032" width="0" style="108" hidden="1" customWidth="1"/>
    <col min="1033" max="1033" width="12.42578125" style="108" bestFit="1" customWidth="1"/>
    <col min="1034" max="1280" width="9.140625" style="108"/>
    <col min="1281" max="1281" width="5.42578125" style="108" customWidth="1"/>
    <col min="1282" max="1282" width="41.28515625" style="108" customWidth="1"/>
    <col min="1283" max="1283" width="15.140625" style="108" customWidth="1"/>
    <col min="1284" max="1284" width="20.140625" style="108" customWidth="1"/>
    <col min="1285" max="1285" width="15" style="108" customWidth="1"/>
    <col min="1286" max="1288" width="0" style="108" hidden="1" customWidth="1"/>
    <col min="1289" max="1289" width="12.42578125" style="108" bestFit="1" customWidth="1"/>
    <col min="1290" max="1536" width="9.140625" style="108"/>
    <col min="1537" max="1537" width="5.42578125" style="108" customWidth="1"/>
    <col min="1538" max="1538" width="41.28515625" style="108" customWidth="1"/>
    <col min="1539" max="1539" width="15.140625" style="108" customWidth="1"/>
    <col min="1540" max="1540" width="20.140625" style="108" customWidth="1"/>
    <col min="1541" max="1541" width="15" style="108" customWidth="1"/>
    <col min="1542" max="1544" width="0" style="108" hidden="1" customWidth="1"/>
    <col min="1545" max="1545" width="12.42578125" style="108" bestFit="1" customWidth="1"/>
    <col min="1546" max="1792" width="9.140625" style="108"/>
    <col min="1793" max="1793" width="5.42578125" style="108" customWidth="1"/>
    <col min="1794" max="1794" width="41.28515625" style="108" customWidth="1"/>
    <col min="1795" max="1795" width="15.140625" style="108" customWidth="1"/>
    <col min="1796" max="1796" width="20.140625" style="108" customWidth="1"/>
    <col min="1797" max="1797" width="15" style="108" customWidth="1"/>
    <col min="1798" max="1800" width="0" style="108" hidden="1" customWidth="1"/>
    <col min="1801" max="1801" width="12.42578125" style="108" bestFit="1" customWidth="1"/>
    <col min="1802" max="2048" width="9.140625" style="108"/>
    <col min="2049" max="2049" width="5.42578125" style="108" customWidth="1"/>
    <col min="2050" max="2050" width="41.28515625" style="108" customWidth="1"/>
    <col min="2051" max="2051" width="15.140625" style="108" customWidth="1"/>
    <col min="2052" max="2052" width="20.140625" style="108" customWidth="1"/>
    <col min="2053" max="2053" width="15" style="108" customWidth="1"/>
    <col min="2054" max="2056" width="0" style="108" hidden="1" customWidth="1"/>
    <col min="2057" max="2057" width="12.42578125" style="108" bestFit="1" customWidth="1"/>
    <col min="2058" max="2304" width="9.140625" style="108"/>
    <col min="2305" max="2305" width="5.42578125" style="108" customWidth="1"/>
    <col min="2306" max="2306" width="41.28515625" style="108" customWidth="1"/>
    <col min="2307" max="2307" width="15.140625" style="108" customWidth="1"/>
    <col min="2308" max="2308" width="20.140625" style="108" customWidth="1"/>
    <col min="2309" max="2309" width="15" style="108" customWidth="1"/>
    <col min="2310" max="2312" width="0" style="108" hidden="1" customWidth="1"/>
    <col min="2313" max="2313" width="12.42578125" style="108" bestFit="1" customWidth="1"/>
    <col min="2314" max="2560" width="9.140625" style="108"/>
    <col min="2561" max="2561" width="5.42578125" style="108" customWidth="1"/>
    <col min="2562" max="2562" width="41.28515625" style="108" customWidth="1"/>
    <col min="2563" max="2563" width="15.140625" style="108" customWidth="1"/>
    <col min="2564" max="2564" width="20.140625" style="108" customWidth="1"/>
    <col min="2565" max="2565" width="15" style="108" customWidth="1"/>
    <col min="2566" max="2568" width="0" style="108" hidden="1" customWidth="1"/>
    <col min="2569" max="2569" width="12.42578125" style="108" bestFit="1" customWidth="1"/>
    <col min="2570" max="2816" width="9.140625" style="108"/>
    <col min="2817" max="2817" width="5.42578125" style="108" customWidth="1"/>
    <col min="2818" max="2818" width="41.28515625" style="108" customWidth="1"/>
    <col min="2819" max="2819" width="15.140625" style="108" customWidth="1"/>
    <col min="2820" max="2820" width="20.140625" style="108" customWidth="1"/>
    <col min="2821" max="2821" width="15" style="108" customWidth="1"/>
    <col min="2822" max="2824" width="0" style="108" hidden="1" customWidth="1"/>
    <col min="2825" max="2825" width="12.42578125" style="108" bestFit="1" customWidth="1"/>
    <col min="2826" max="3072" width="9.140625" style="108"/>
    <col min="3073" max="3073" width="5.42578125" style="108" customWidth="1"/>
    <col min="3074" max="3074" width="41.28515625" style="108" customWidth="1"/>
    <col min="3075" max="3075" width="15.140625" style="108" customWidth="1"/>
    <col min="3076" max="3076" width="20.140625" style="108" customWidth="1"/>
    <col min="3077" max="3077" width="15" style="108" customWidth="1"/>
    <col min="3078" max="3080" width="0" style="108" hidden="1" customWidth="1"/>
    <col min="3081" max="3081" width="12.42578125" style="108" bestFit="1" customWidth="1"/>
    <col min="3082" max="3328" width="9.140625" style="108"/>
    <col min="3329" max="3329" width="5.42578125" style="108" customWidth="1"/>
    <col min="3330" max="3330" width="41.28515625" style="108" customWidth="1"/>
    <col min="3331" max="3331" width="15.140625" style="108" customWidth="1"/>
    <col min="3332" max="3332" width="20.140625" style="108" customWidth="1"/>
    <col min="3333" max="3333" width="15" style="108" customWidth="1"/>
    <col min="3334" max="3336" width="0" style="108" hidden="1" customWidth="1"/>
    <col min="3337" max="3337" width="12.42578125" style="108" bestFit="1" customWidth="1"/>
    <col min="3338" max="3584" width="9.140625" style="108"/>
    <col min="3585" max="3585" width="5.42578125" style="108" customWidth="1"/>
    <col min="3586" max="3586" width="41.28515625" style="108" customWidth="1"/>
    <col min="3587" max="3587" width="15.140625" style="108" customWidth="1"/>
    <col min="3588" max="3588" width="20.140625" style="108" customWidth="1"/>
    <col min="3589" max="3589" width="15" style="108" customWidth="1"/>
    <col min="3590" max="3592" width="0" style="108" hidden="1" customWidth="1"/>
    <col min="3593" max="3593" width="12.42578125" style="108" bestFit="1" customWidth="1"/>
    <col min="3594" max="3840" width="9.140625" style="108"/>
    <col min="3841" max="3841" width="5.42578125" style="108" customWidth="1"/>
    <col min="3842" max="3842" width="41.28515625" style="108" customWidth="1"/>
    <col min="3843" max="3843" width="15.140625" style="108" customWidth="1"/>
    <col min="3844" max="3844" width="20.140625" style="108" customWidth="1"/>
    <col min="3845" max="3845" width="15" style="108" customWidth="1"/>
    <col min="3846" max="3848" width="0" style="108" hidden="1" customWidth="1"/>
    <col min="3849" max="3849" width="12.42578125" style="108" bestFit="1" customWidth="1"/>
    <col min="3850" max="4096" width="9.140625" style="108"/>
    <col min="4097" max="4097" width="5.42578125" style="108" customWidth="1"/>
    <col min="4098" max="4098" width="41.28515625" style="108" customWidth="1"/>
    <col min="4099" max="4099" width="15.140625" style="108" customWidth="1"/>
    <col min="4100" max="4100" width="20.140625" style="108" customWidth="1"/>
    <col min="4101" max="4101" width="15" style="108" customWidth="1"/>
    <col min="4102" max="4104" width="0" style="108" hidden="1" customWidth="1"/>
    <col min="4105" max="4105" width="12.42578125" style="108" bestFit="1" customWidth="1"/>
    <col min="4106" max="4352" width="9.140625" style="108"/>
    <col min="4353" max="4353" width="5.42578125" style="108" customWidth="1"/>
    <col min="4354" max="4354" width="41.28515625" style="108" customWidth="1"/>
    <col min="4355" max="4355" width="15.140625" style="108" customWidth="1"/>
    <col min="4356" max="4356" width="20.140625" style="108" customWidth="1"/>
    <col min="4357" max="4357" width="15" style="108" customWidth="1"/>
    <col min="4358" max="4360" width="0" style="108" hidden="1" customWidth="1"/>
    <col min="4361" max="4361" width="12.42578125" style="108" bestFit="1" customWidth="1"/>
    <col min="4362" max="4608" width="9.140625" style="108"/>
    <col min="4609" max="4609" width="5.42578125" style="108" customWidth="1"/>
    <col min="4610" max="4610" width="41.28515625" style="108" customWidth="1"/>
    <col min="4611" max="4611" width="15.140625" style="108" customWidth="1"/>
    <col min="4612" max="4612" width="20.140625" style="108" customWidth="1"/>
    <col min="4613" max="4613" width="15" style="108" customWidth="1"/>
    <col min="4614" max="4616" width="0" style="108" hidden="1" customWidth="1"/>
    <col min="4617" max="4617" width="12.42578125" style="108" bestFit="1" customWidth="1"/>
    <col min="4618" max="4864" width="9.140625" style="108"/>
    <col min="4865" max="4865" width="5.42578125" style="108" customWidth="1"/>
    <col min="4866" max="4866" width="41.28515625" style="108" customWidth="1"/>
    <col min="4867" max="4867" width="15.140625" style="108" customWidth="1"/>
    <col min="4868" max="4868" width="20.140625" style="108" customWidth="1"/>
    <col min="4869" max="4869" width="15" style="108" customWidth="1"/>
    <col min="4870" max="4872" width="0" style="108" hidden="1" customWidth="1"/>
    <col min="4873" max="4873" width="12.42578125" style="108" bestFit="1" customWidth="1"/>
    <col min="4874" max="5120" width="9.140625" style="108"/>
    <col min="5121" max="5121" width="5.42578125" style="108" customWidth="1"/>
    <col min="5122" max="5122" width="41.28515625" style="108" customWidth="1"/>
    <col min="5123" max="5123" width="15.140625" style="108" customWidth="1"/>
    <col min="5124" max="5124" width="20.140625" style="108" customWidth="1"/>
    <col min="5125" max="5125" width="15" style="108" customWidth="1"/>
    <col min="5126" max="5128" width="0" style="108" hidden="1" customWidth="1"/>
    <col min="5129" max="5129" width="12.42578125" style="108" bestFit="1" customWidth="1"/>
    <col min="5130" max="5376" width="9.140625" style="108"/>
    <col min="5377" max="5377" width="5.42578125" style="108" customWidth="1"/>
    <col min="5378" max="5378" width="41.28515625" style="108" customWidth="1"/>
    <col min="5379" max="5379" width="15.140625" style="108" customWidth="1"/>
    <col min="5380" max="5380" width="20.140625" style="108" customWidth="1"/>
    <col min="5381" max="5381" width="15" style="108" customWidth="1"/>
    <col min="5382" max="5384" width="0" style="108" hidden="1" customWidth="1"/>
    <col min="5385" max="5385" width="12.42578125" style="108" bestFit="1" customWidth="1"/>
    <col min="5386" max="5632" width="9.140625" style="108"/>
    <col min="5633" max="5633" width="5.42578125" style="108" customWidth="1"/>
    <col min="5634" max="5634" width="41.28515625" style="108" customWidth="1"/>
    <col min="5635" max="5635" width="15.140625" style="108" customWidth="1"/>
    <col min="5636" max="5636" width="20.140625" style="108" customWidth="1"/>
    <col min="5637" max="5637" width="15" style="108" customWidth="1"/>
    <col min="5638" max="5640" width="0" style="108" hidden="1" customWidth="1"/>
    <col min="5641" max="5641" width="12.42578125" style="108" bestFit="1" customWidth="1"/>
    <col min="5642" max="5888" width="9.140625" style="108"/>
    <col min="5889" max="5889" width="5.42578125" style="108" customWidth="1"/>
    <col min="5890" max="5890" width="41.28515625" style="108" customWidth="1"/>
    <col min="5891" max="5891" width="15.140625" style="108" customWidth="1"/>
    <col min="5892" max="5892" width="20.140625" style="108" customWidth="1"/>
    <col min="5893" max="5893" width="15" style="108" customWidth="1"/>
    <col min="5894" max="5896" width="0" style="108" hidden="1" customWidth="1"/>
    <col min="5897" max="5897" width="12.42578125" style="108" bestFit="1" customWidth="1"/>
    <col min="5898" max="6144" width="9.140625" style="108"/>
    <col min="6145" max="6145" width="5.42578125" style="108" customWidth="1"/>
    <col min="6146" max="6146" width="41.28515625" style="108" customWidth="1"/>
    <col min="6147" max="6147" width="15.140625" style="108" customWidth="1"/>
    <col min="6148" max="6148" width="20.140625" style="108" customWidth="1"/>
    <col min="6149" max="6149" width="15" style="108" customWidth="1"/>
    <col min="6150" max="6152" width="0" style="108" hidden="1" customWidth="1"/>
    <col min="6153" max="6153" width="12.42578125" style="108" bestFit="1" customWidth="1"/>
    <col min="6154" max="6400" width="9.140625" style="108"/>
    <col min="6401" max="6401" width="5.42578125" style="108" customWidth="1"/>
    <col min="6402" max="6402" width="41.28515625" style="108" customWidth="1"/>
    <col min="6403" max="6403" width="15.140625" style="108" customWidth="1"/>
    <col min="6404" max="6404" width="20.140625" style="108" customWidth="1"/>
    <col min="6405" max="6405" width="15" style="108" customWidth="1"/>
    <col min="6406" max="6408" width="0" style="108" hidden="1" customWidth="1"/>
    <col min="6409" max="6409" width="12.42578125" style="108" bestFit="1" customWidth="1"/>
    <col min="6410" max="6656" width="9.140625" style="108"/>
    <col min="6657" max="6657" width="5.42578125" style="108" customWidth="1"/>
    <col min="6658" max="6658" width="41.28515625" style="108" customWidth="1"/>
    <col min="6659" max="6659" width="15.140625" style="108" customWidth="1"/>
    <col min="6660" max="6660" width="20.140625" style="108" customWidth="1"/>
    <col min="6661" max="6661" width="15" style="108" customWidth="1"/>
    <col min="6662" max="6664" width="0" style="108" hidden="1" customWidth="1"/>
    <col min="6665" max="6665" width="12.42578125" style="108" bestFit="1" customWidth="1"/>
    <col min="6666" max="6912" width="9.140625" style="108"/>
    <col min="6913" max="6913" width="5.42578125" style="108" customWidth="1"/>
    <col min="6914" max="6914" width="41.28515625" style="108" customWidth="1"/>
    <col min="6915" max="6915" width="15.140625" style="108" customWidth="1"/>
    <col min="6916" max="6916" width="20.140625" style="108" customWidth="1"/>
    <col min="6917" max="6917" width="15" style="108" customWidth="1"/>
    <col min="6918" max="6920" width="0" style="108" hidden="1" customWidth="1"/>
    <col min="6921" max="6921" width="12.42578125" style="108" bestFit="1" customWidth="1"/>
    <col min="6922" max="7168" width="9.140625" style="108"/>
    <col min="7169" max="7169" width="5.42578125" style="108" customWidth="1"/>
    <col min="7170" max="7170" width="41.28515625" style="108" customWidth="1"/>
    <col min="7171" max="7171" width="15.140625" style="108" customWidth="1"/>
    <col min="7172" max="7172" width="20.140625" style="108" customWidth="1"/>
    <col min="7173" max="7173" width="15" style="108" customWidth="1"/>
    <col min="7174" max="7176" width="0" style="108" hidden="1" customWidth="1"/>
    <col min="7177" max="7177" width="12.42578125" style="108" bestFit="1" customWidth="1"/>
    <col min="7178" max="7424" width="9.140625" style="108"/>
    <col min="7425" max="7425" width="5.42578125" style="108" customWidth="1"/>
    <col min="7426" max="7426" width="41.28515625" style="108" customWidth="1"/>
    <col min="7427" max="7427" width="15.140625" style="108" customWidth="1"/>
    <col min="7428" max="7428" width="20.140625" style="108" customWidth="1"/>
    <col min="7429" max="7429" width="15" style="108" customWidth="1"/>
    <col min="7430" max="7432" width="0" style="108" hidden="1" customWidth="1"/>
    <col min="7433" max="7433" width="12.42578125" style="108" bestFit="1" customWidth="1"/>
    <col min="7434" max="7680" width="9.140625" style="108"/>
    <col min="7681" max="7681" width="5.42578125" style="108" customWidth="1"/>
    <col min="7682" max="7682" width="41.28515625" style="108" customWidth="1"/>
    <col min="7683" max="7683" width="15.140625" style="108" customWidth="1"/>
    <col min="7684" max="7684" width="20.140625" style="108" customWidth="1"/>
    <col min="7685" max="7685" width="15" style="108" customWidth="1"/>
    <col min="7686" max="7688" width="0" style="108" hidden="1" customWidth="1"/>
    <col min="7689" max="7689" width="12.42578125" style="108" bestFit="1" customWidth="1"/>
    <col min="7690" max="7936" width="9.140625" style="108"/>
    <col min="7937" max="7937" width="5.42578125" style="108" customWidth="1"/>
    <col min="7938" max="7938" width="41.28515625" style="108" customWidth="1"/>
    <col min="7939" max="7939" width="15.140625" style="108" customWidth="1"/>
    <col min="7940" max="7940" width="20.140625" style="108" customWidth="1"/>
    <col min="7941" max="7941" width="15" style="108" customWidth="1"/>
    <col min="7942" max="7944" width="0" style="108" hidden="1" customWidth="1"/>
    <col min="7945" max="7945" width="12.42578125" style="108" bestFit="1" customWidth="1"/>
    <col min="7946" max="8192" width="9.140625" style="108"/>
    <col min="8193" max="8193" width="5.42578125" style="108" customWidth="1"/>
    <col min="8194" max="8194" width="41.28515625" style="108" customWidth="1"/>
    <col min="8195" max="8195" width="15.140625" style="108" customWidth="1"/>
    <col min="8196" max="8196" width="20.140625" style="108" customWidth="1"/>
    <col min="8197" max="8197" width="15" style="108" customWidth="1"/>
    <col min="8198" max="8200" width="0" style="108" hidden="1" customWidth="1"/>
    <col min="8201" max="8201" width="12.42578125" style="108" bestFit="1" customWidth="1"/>
    <col min="8202" max="8448" width="9.140625" style="108"/>
    <col min="8449" max="8449" width="5.42578125" style="108" customWidth="1"/>
    <col min="8450" max="8450" width="41.28515625" style="108" customWidth="1"/>
    <col min="8451" max="8451" width="15.140625" style="108" customWidth="1"/>
    <col min="8452" max="8452" width="20.140625" style="108" customWidth="1"/>
    <col min="8453" max="8453" width="15" style="108" customWidth="1"/>
    <col min="8454" max="8456" width="0" style="108" hidden="1" customWidth="1"/>
    <col min="8457" max="8457" width="12.42578125" style="108" bestFit="1" customWidth="1"/>
    <col min="8458" max="8704" width="9.140625" style="108"/>
    <col min="8705" max="8705" width="5.42578125" style="108" customWidth="1"/>
    <col min="8706" max="8706" width="41.28515625" style="108" customWidth="1"/>
    <col min="8707" max="8707" width="15.140625" style="108" customWidth="1"/>
    <col min="8708" max="8708" width="20.140625" style="108" customWidth="1"/>
    <col min="8709" max="8709" width="15" style="108" customWidth="1"/>
    <col min="8710" max="8712" width="0" style="108" hidden="1" customWidth="1"/>
    <col min="8713" max="8713" width="12.42578125" style="108" bestFit="1" customWidth="1"/>
    <col min="8714" max="8960" width="9.140625" style="108"/>
    <col min="8961" max="8961" width="5.42578125" style="108" customWidth="1"/>
    <col min="8962" max="8962" width="41.28515625" style="108" customWidth="1"/>
    <col min="8963" max="8963" width="15.140625" style="108" customWidth="1"/>
    <col min="8964" max="8964" width="20.140625" style="108" customWidth="1"/>
    <col min="8965" max="8965" width="15" style="108" customWidth="1"/>
    <col min="8966" max="8968" width="0" style="108" hidden="1" customWidth="1"/>
    <col min="8969" max="8969" width="12.42578125" style="108" bestFit="1" customWidth="1"/>
    <col min="8970" max="9216" width="9.140625" style="108"/>
    <col min="9217" max="9217" width="5.42578125" style="108" customWidth="1"/>
    <col min="9218" max="9218" width="41.28515625" style="108" customWidth="1"/>
    <col min="9219" max="9219" width="15.140625" style="108" customWidth="1"/>
    <col min="9220" max="9220" width="20.140625" style="108" customWidth="1"/>
    <col min="9221" max="9221" width="15" style="108" customWidth="1"/>
    <col min="9222" max="9224" width="0" style="108" hidden="1" customWidth="1"/>
    <col min="9225" max="9225" width="12.42578125" style="108" bestFit="1" customWidth="1"/>
    <col min="9226" max="9472" width="9.140625" style="108"/>
    <col min="9473" max="9473" width="5.42578125" style="108" customWidth="1"/>
    <col min="9474" max="9474" width="41.28515625" style="108" customWidth="1"/>
    <col min="9475" max="9475" width="15.140625" style="108" customWidth="1"/>
    <col min="9476" max="9476" width="20.140625" style="108" customWidth="1"/>
    <col min="9477" max="9477" width="15" style="108" customWidth="1"/>
    <col min="9478" max="9480" width="0" style="108" hidden="1" customWidth="1"/>
    <col min="9481" max="9481" width="12.42578125" style="108" bestFit="1" customWidth="1"/>
    <col min="9482" max="9728" width="9.140625" style="108"/>
    <col min="9729" max="9729" width="5.42578125" style="108" customWidth="1"/>
    <col min="9730" max="9730" width="41.28515625" style="108" customWidth="1"/>
    <col min="9731" max="9731" width="15.140625" style="108" customWidth="1"/>
    <col min="9732" max="9732" width="20.140625" style="108" customWidth="1"/>
    <col min="9733" max="9733" width="15" style="108" customWidth="1"/>
    <col min="9734" max="9736" width="0" style="108" hidden="1" customWidth="1"/>
    <col min="9737" max="9737" width="12.42578125" style="108" bestFit="1" customWidth="1"/>
    <col min="9738" max="9984" width="9.140625" style="108"/>
    <col min="9985" max="9985" width="5.42578125" style="108" customWidth="1"/>
    <col min="9986" max="9986" width="41.28515625" style="108" customWidth="1"/>
    <col min="9987" max="9987" width="15.140625" style="108" customWidth="1"/>
    <col min="9988" max="9988" width="20.140625" style="108" customWidth="1"/>
    <col min="9989" max="9989" width="15" style="108" customWidth="1"/>
    <col min="9990" max="9992" width="0" style="108" hidden="1" customWidth="1"/>
    <col min="9993" max="9993" width="12.42578125" style="108" bestFit="1" customWidth="1"/>
    <col min="9994" max="10240" width="9.140625" style="108"/>
    <col min="10241" max="10241" width="5.42578125" style="108" customWidth="1"/>
    <col min="10242" max="10242" width="41.28515625" style="108" customWidth="1"/>
    <col min="10243" max="10243" width="15.140625" style="108" customWidth="1"/>
    <col min="10244" max="10244" width="20.140625" style="108" customWidth="1"/>
    <col min="10245" max="10245" width="15" style="108" customWidth="1"/>
    <col min="10246" max="10248" width="0" style="108" hidden="1" customWidth="1"/>
    <col min="10249" max="10249" width="12.42578125" style="108" bestFit="1" customWidth="1"/>
    <col min="10250" max="10496" width="9.140625" style="108"/>
    <col min="10497" max="10497" width="5.42578125" style="108" customWidth="1"/>
    <col min="10498" max="10498" width="41.28515625" style="108" customWidth="1"/>
    <col min="10499" max="10499" width="15.140625" style="108" customWidth="1"/>
    <col min="10500" max="10500" width="20.140625" style="108" customWidth="1"/>
    <col min="10501" max="10501" width="15" style="108" customWidth="1"/>
    <col min="10502" max="10504" width="0" style="108" hidden="1" customWidth="1"/>
    <col min="10505" max="10505" width="12.42578125" style="108" bestFit="1" customWidth="1"/>
    <col min="10506" max="10752" width="9.140625" style="108"/>
    <col min="10753" max="10753" width="5.42578125" style="108" customWidth="1"/>
    <col min="10754" max="10754" width="41.28515625" style="108" customWidth="1"/>
    <col min="10755" max="10755" width="15.140625" style="108" customWidth="1"/>
    <col min="10756" max="10756" width="20.140625" style="108" customWidth="1"/>
    <col min="10757" max="10757" width="15" style="108" customWidth="1"/>
    <col min="10758" max="10760" width="0" style="108" hidden="1" customWidth="1"/>
    <col min="10761" max="10761" width="12.42578125" style="108" bestFit="1" customWidth="1"/>
    <col min="10762" max="11008" width="9.140625" style="108"/>
    <col min="11009" max="11009" width="5.42578125" style="108" customWidth="1"/>
    <col min="11010" max="11010" width="41.28515625" style="108" customWidth="1"/>
    <col min="11011" max="11011" width="15.140625" style="108" customWidth="1"/>
    <col min="11012" max="11012" width="20.140625" style="108" customWidth="1"/>
    <col min="11013" max="11013" width="15" style="108" customWidth="1"/>
    <col min="11014" max="11016" width="0" style="108" hidden="1" customWidth="1"/>
    <col min="11017" max="11017" width="12.42578125" style="108" bestFit="1" customWidth="1"/>
    <col min="11018" max="11264" width="9.140625" style="108"/>
    <col min="11265" max="11265" width="5.42578125" style="108" customWidth="1"/>
    <col min="11266" max="11266" width="41.28515625" style="108" customWidth="1"/>
    <col min="11267" max="11267" width="15.140625" style="108" customWidth="1"/>
    <col min="11268" max="11268" width="20.140625" style="108" customWidth="1"/>
    <col min="11269" max="11269" width="15" style="108" customWidth="1"/>
    <col min="11270" max="11272" width="0" style="108" hidden="1" customWidth="1"/>
    <col min="11273" max="11273" width="12.42578125" style="108" bestFit="1" customWidth="1"/>
    <col min="11274" max="11520" width="9.140625" style="108"/>
    <col min="11521" max="11521" width="5.42578125" style="108" customWidth="1"/>
    <col min="11522" max="11522" width="41.28515625" style="108" customWidth="1"/>
    <col min="11523" max="11523" width="15.140625" style="108" customWidth="1"/>
    <col min="11524" max="11524" width="20.140625" style="108" customWidth="1"/>
    <col min="11525" max="11525" width="15" style="108" customWidth="1"/>
    <col min="11526" max="11528" width="0" style="108" hidden="1" customWidth="1"/>
    <col min="11529" max="11529" width="12.42578125" style="108" bestFit="1" customWidth="1"/>
    <col min="11530" max="11776" width="9.140625" style="108"/>
    <col min="11777" max="11777" width="5.42578125" style="108" customWidth="1"/>
    <col min="11778" max="11778" width="41.28515625" style="108" customWidth="1"/>
    <col min="11779" max="11779" width="15.140625" style="108" customWidth="1"/>
    <col min="11780" max="11780" width="20.140625" style="108" customWidth="1"/>
    <col min="11781" max="11781" width="15" style="108" customWidth="1"/>
    <col min="11782" max="11784" width="0" style="108" hidden="1" customWidth="1"/>
    <col min="11785" max="11785" width="12.42578125" style="108" bestFit="1" customWidth="1"/>
    <col min="11786" max="12032" width="9.140625" style="108"/>
    <col min="12033" max="12033" width="5.42578125" style="108" customWidth="1"/>
    <col min="12034" max="12034" width="41.28515625" style="108" customWidth="1"/>
    <col min="12035" max="12035" width="15.140625" style="108" customWidth="1"/>
    <col min="12036" max="12036" width="20.140625" style="108" customWidth="1"/>
    <col min="12037" max="12037" width="15" style="108" customWidth="1"/>
    <col min="12038" max="12040" width="0" style="108" hidden="1" customWidth="1"/>
    <col min="12041" max="12041" width="12.42578125" style="108" bestFit="1" customWidth="1"/>
    <col min="12042" max="12288" width="9.140625" style="108"/>
    <col min="12289" max="12289" width="5.42578125" style="108" customWidth="1"/>
    <col min="12290" max="12290" width="41.28515625" style="108" customWidth="1"/>
    <col min="12291" max="12291" width="15.140625" style="108" customWidth="1"/>
    <col min="12292" max="12292" width="20.140625" style="108" customWidth="1"/>
    <col min="12293" max="12293" width="15" style="108" customWidth="1"/>
    <col min="12294" max="12296" width="0" style="108" hidden="1" customWidth="1"/>
    <col min="12297" max="12297" width="12.42578125" style="108" bestFit="1" customWidth="1"/>
    <col min="12298" max="12544" width="9.140625" style="108"/>
    <col min="12545" max="12545" width="5.42578125" style="108" customWidth="1"/>
    <col min="12546" max="12546" width="41.28515625" style="108" customWidth="1"/>
    <col min="12547" max="12547" width="15.140625" style="108" customWidth="1"/>
    <col min="12548" max="12548" width="20.140625" style="108" customWidth="1"/>
    <col min="12549" max="12549" width="15" style="108" customWidth="1"/>
    <col min="12550" max="12552" width="0" style="108" hidden="1" customWidth="1"/>
    <col min="12553" max="12553" width="12.42578125" style="108" bestFit="1" customWidth="1"/>
    <col min="12554" max="12800" width="9.140625" style="108"/>
    <col min="12801" max="12801" width="5.42578125" style="108" customWidth="1"/>
    <col min="12802" max="12802" width="41.28515625" style="108" customWidth="1"/>
    <col min="12803" max="12803" width="15.140625" style="108" customWidth="1"/>
    <col min="12804" max="12804" width="20.140625" style="108" customWidth="1"/>
    <col min="12805" max="12805" width="15" style="108" customWidth="1"/>
    <col min="12806" max="12808" width="0" style="108" hidden="1" customWidth="1"/>
    <col min="12809" max="12809" width="12.42578125" style="108" bestFit="1" customWidth="1"/>
    <col min="12810" max="13056" width="9.140625" style="108"/>
    <col min="13057" max="13057" width="5.42578125" style="108" customWidth="1"/>
    <col min="13058" max="13058" width="41.28515625" style="108" customWidth="1"/>
    <col min="13059" max="13059" width="15.140625" style="108" customWidth="1"/>
    <col min="13060" max="13060" width="20.140625" style="108" customWidth="1"/>
    <col min="13061" max="13061" width="15" style="108" customWidth="1"/>
    <col min="13062" max="13064" width="0" style="108" hidden="1" customWidth="1"/>
    <col min="13065" max="13065" width="12.42578125" style="108" bestFit="1" customWidth="1"/>
    <col min="13066" max="13312" width="9.140625" style="108"/>
    <col min="13313" max="13313" width="5.42578125" style="108" customWidth="1"/>
    <col min="13314" max="13314" width="41.28515625" style="108" customWidth="1"/>
    <col min="13315" max="13315" width="15.140625" style="108" customWidth="1"/>
    <col min="13316" max="13316" width="20.140625" style="108" customWidth="1"/>
    <col min="13317" max="13317" width="15" style="108" customWidth="1"/>
    <col min="13318" max="13320" width="0" style="108" hidden="1" customWidth="1"/>
    <col min="13321" max="13321" width="12.42578125" style="108" bestFit="1" customWidth="1"/>
    <col min="13322" max="13568" width="9.140625" style="108"/>
    <col min="13569" max="13569" width="5.42578125" style="108" customWidth="1"/>
    <col min="13570" max="13570" width="41.28515625" style="108" customWidth="1"/>
    <col min="13571" max="13571" width="15.140625" style="108" customWidth="1"/>
    <col min="13572" max="13572" width="20.140625" style="108" customWidth="1"/>
    <col min="13573" max="13573" width="15" style="108" customWidth="1"/>
    <col min="13574" max="13576" width="0" style="108" hidden="1" customWidth="1"/>
    <col min="13577" max="13577" width="12.42578125" style="108" bestFit="1" customWidth="1"/>
    <col min="13578" max="13824" width="9.140625" style="108"/>
    <col min="13825" max="13825" width="5.42578125" style="108" customWidth="1"/>
    <col min="13826" max="13826" width="41.28515625" style="108" customWidth="1"/>
    <col min="13827" max="13827" width="15.140625" style="108" customWidth="1"/>
    <col min="13828" max="13828" width="20.140625" style="108" customWidth="1"/>
    <col min="13829" max="13829" width="15" style="108" customWidth="1"/>
    <col min="13830" max="13832" width="0" style="108" hidden="1" customWidth="1"/>
    <col min="13833" max="13833" width="12.42578125" style="108" bestFit="1" customWidth="1"/>
    <col min="13834" max="14080" width="9.140625" style="108"/>
    <col min="14081" max="14081" width="5.42578125" style="108" customWidth="1"/>
    <col min="14082" max="14082" width="41.28515625" style="108" customWidth="1"/>
    <col min="14083" max="14083" width="15.140625" style="108" customWidth="1"/>
    <col min="14084" max="14084" width="20.140625" style="108" customWidth="1"/>
    <col min="14085" max="14085" width="15" style="108" customWidth="1"/>
    <col min="14086" max="14088" width="0" style="108" hidden="1" customWidth="1"/>
    <col min="14089" max="14089" width="12.42578125" style="108" bestFit="1" customWidth="1"/>
    <col min="14090" max="14336" width="9.140625" style="108"/>
    <col min="14337" max="14337" width="5.42578125" style="108" customWidth="1"/>
    <col min="14338" max="14338" width="41.28515625" style="108" customWidth="1"/>
    <col min="14339" max="14339" width="15.140625" style="108" customWidth="1"/>
    <col min="14340" max="14340" width="20.140625" style="108" customWidth="1"/>
    <col min="14341" max="14341" width="15" style="108" customWidth="1"/>
    <col min="14342" max="14344" width="0" style="108" hidden="1" customWidth="1"/>
    <col min="14345" max="14345" width="12.42578125" style="108" bestFit="1" customWidth="1"/>
    <col min="14346" max="14592" width="9.140625" style="108"/>
    <col min="14593" max="14593" width="5.42578125" style="108" customWidth="1"/>
    <col min="14594" max="14594" width="41.28515625" style="108" customWidth="1"/>
    <col min="14595" max="14595" width="15.140625" style="108" customWidth="1"/>
    <col min="14596" max="14596" width="20.140625" style="108" customWidth="1"/>
    <col min="14597" max="14597" width="15" style="108" customWidth="1"/>
    <col min="14598" max="14600" width="0" style="108" hidden="1" customWidth="1"/>
    <col min="14601" max="14601" width="12.42578125" style="108" bestFit="1" customWidth="1"/>
    <col min="14602" max="14848" width="9.140625" style="108"/>
    <col min="14849" max="14849" width="5.42578125" style="108" customWidth="1"/>
    <col min="14850" max="14850" width="41.28515625" style="108" customWidth="1"/>
    <col min="14851" max="14851" width="15.140625" style="108" customWidth="1"/>
    <col min="14852" max="14852" width="20.140625" style="108" customWidth="1"/>
    <col min="14853" max="14853" width="15" style="108" customWidth="1"/>
    <col min="14854" max="14856" width="0" style="108" hidden="1" customWidth="1"/>
    <col min="14857" max="14857" width="12.42578125" style="108" bestFit="1" customWidth="1"/>
    <col min="14858" max="15104" width="9.140625" style="108"/>
    <col min="15105" max="15105" width="5.42578125" style="108" customWidth="1"/>
    <col min="15106" max="15106" width="41.28515625" style="108" customWidth="1"/>
    <col min="15107" max="15107" width="15.140625" style="108" customWidth="1"/>
    <col min="15108" max="15108" width="20.140625" style="108" customWidth="1"/>
    <col min="15109" max="15109" width="15" style="108" customWidth="1"/>
    <col min="15110" max="15112" width="0" style="108" hidden="1" customWidth="1"/>
    <col min="15113" max="15113" width="12.42578125" style="108" bestFit="1" customWidth="1"/>
    <col min="15114" max="15360" width="9.140625" style="108"/>
    <col min="15361" max="15361" width="5.42578125" style="108" customWidth="1"/>
    <col min="15362" max="15362" width="41.28515625" style="108" customWidth="1"/>
    <col min="15363" max="15363" width="15.140625" style="108" customWidth="1"/>
    <col min="15364" max="15364" width="20.140625" style="108" customWidth="1"/>
    <col min="15365" max="15365" width="15" style="108" customWidth="1"/>
    <col min="15366" max="15368" width="0" style="108" hidden="1" customWidth="1"/>
    <col min="15369" max="15369" width="12.42578125" style="108" bestFit="1" customWidth="1"/>
    <col min="15370" max="15616" width="9.140625" style="108"/>
    <col min="15617" max="15617" width="5.42578125" style="108" customWidth="1"/>
    <col min="15618" max="15618" width="41.28515625" style="108" customWidth="1"/>
    <col min="15619" max="15619" width="15.140625" style="108" customWidth="1"/>
    <col min="15620" max="15620" width="20.140625" style="108" customWidth="1"/>
    <col min="15621" max="15621" width="15" style="108" customWidth="1"/>
    <col min="15622" max="15624" width="0" style="108" hidden="1" customWidth="1"/>
    <col min="15625" max="15625" width="12.42578125" style="108" bestFit="1" customWidth="1"/>
    <col min="15626" max="15872" width="9.140625" style="108"/>
    <col min="15873" max="15873" width="5.42578125" style="108" customWidth="1"/>
    <col min="15874" max="15874" width="41.28515625" style="108" customWidth="1"/>
    <col min="15875" max="15875" width="15.140625" style="108" customWidth="1"/>
    <col min="15876" max="15876" width="20.140625" style="108" customWidth="1"/>
    <col min="15877" max="15877" width="15" style="108" customWidth="1"/>
    <col min="15878" max="15880" width="0" style="108" hidden="1" customWidth="1"/>
    <col min="15881" max="15881" width="12.42578125" style="108" bestFit="1" customWidth="1"/>
    <col min="15882" max="16128" width="9.140625" style="108"/>
    <col min="16129" max="16129" width="5.42578125" style="108" customWidth="1"/>
    <col min="16130" max="16130" width="41.28515625" style="108" customWidth="1"/>
    <col min="16131" max="16131" width="15.140625" style="108" customWidth="1"/>
    <col min="16132" max="16132" width="20.140625" style="108" customWidth="1"/>
    <col min="16133" max="16133" width="15" style="108" customWidth="1"/>
    <col min="16134" max="16136" width="0" style="108" hidden="1" customWidth="1"/>
    <col min="16137" max="16137" width="12.42578125" style="108" bestFit="1" customWidth="1"/>
    <col min="16138" max="16384" width="9.140625" style="108"/>
  </cols>
  <sheetData>
    <row r="1" spans="1:8" x14ac:dyDescent="0.25">
      <c r="A1" s="274"/>
      <c r="B1" s="274"/>
      <c r="C1" s="275" t="s">
        <v>571</v>
      </c>
      <c r="D1" s="275"/>
      <c r="E1" s="275"/>
    </row>
    <row r="2" spans="1:8" ht="13.5" customHeight="1" x14ac:dyDescent="0.25">
      <c r="A2" s="151"/>
      <c r="B2" s="151"/>
      <c r="C2" s="207"/>
      <c r="D2" s="207"/>
      <c r="E2" s="207"/>
    </row>
    <row r="3" spans="1:8" ht="15.75" customHeight="1" x14ac:dyDescent="0.25">
      <c r="A3" s="276" t="s">
        <v>534</v>
      </c>
      <c r="B3" s="276"/>
      <c r="C3" s="276"/>
      <c r="D3" s="276"/>
      <c r="E3" s="276"/>
    </row>
    <row r="4" spans="1:8" ht="15.75" customHeight="1" x14ac:dyDescent="0.25">
      <c r="A4" s="276"/>
      <c r="B4" s="276"/>
      <c r="C4" s="276"/>
      <c r="D4" s="276"/>
      <c r="E4" s="276"/>
    </row>
    <row r="5" spans="1:8" ht="34.5" customHeight="1" x14ac:dyDescent="0.25">
      <c r="A5" s="233" t="s">
        <v>587</v>
      </c>
      <c r="B5" s="234"/>
      <c r="C5" s="234"/>
      <c r="D5" s="234"/>
      <c r="E5" s="234"/>
      <c r="F5" s="234"/>
    </row>
    <row r="6" spans="1:8" ht="15.75" customHeight="1" x14ac:dyDescent="0.25">
      <c r="A6" s="150"/>
      <c r="B6" s="150"/>
      <c r="C6" s="150"/>
      <c r="D6" s="150"/>
      <c r="E6" s="150"/>
      <c r="F6" s="150"/>
    </row>
    <row r="7" spans="1:8" x14ac:dyDescent="0.25">
      <c r="A7" s="277" t="s">
        <v>560</v>
      </c>
      <c r="B7" s="277"/>
      <c r="C7" s="277"/>
      <c r="D7" s="277"/>
      <c r="E7" s="277"/>
    </row>
    <row r="8" spans="1:8" ht="39" customHeight="1" x14ac:dyDescent="0.25">
      <c r="A8" s="109" t="s">
        <v>557</v>
      </c>
      <c r="B8" s="109" t="s">
        <v>1</v>
      </c>
      <c r="C8" s="110" t="s">
        <v>535</v>
      </c>
      <c r="D8" s="110" t="s">
        <v>536</v>
      </c>
      <c r="E8" s="111" t="s">
        <v>68</v>
      </c>
      <c r="F8" s="112" t="s">
        <v>537</v>
      </c>
      <c r="G8" s="108" t="s">
        <v>538</v>
      </c>
      <c r="H8" s="108" t="s">
        <v>539</v>
      </c>
    </row>
    <row r="9" spans="1:8" s="117" customFormat="1" x14ac:dyDescent="0.25">
      <c r="A9" s="113" t="s">
        <v>2</v>
      </c>
      <c r="B9" s="113" t="s">
        <v>3</v>
      </c>
      <c r="C9" s="114">
        <v>1</v>
      </c>
      <c r="D9" s="114">
        <v>2</v>
      </c>
      <c r="E9" s="115" t="s">
        <v>44</v>
      </c>
      <c r="F9" s="116"/>
    </row>
    <row r="10" spans="1:8" s="121" customFormat="1" ht="21.75" customHeight="1" x14ac:dyDescent="0.25">
      <c r="A10" s="109"/>
      <c r="B10" s="118" t="s">
        <v>25</v>
      </c>
      <c r="C10" s="119">
        <f>C30+C33+C34+C35+C36+C37+C38+C39+C40</f>
        <v>1345588</v>
      </c>
      <c r="D10" s="119">
        <f>D30+D33+D34+D35+D36+D37+D38+D39+D40</f>
        <v>1416066</v>
      </c>
      <c r="E10" s="120">
        <f>D10/C10</f>
        <v>1.0523771020550123</v>
      </c>
      <c r="F10" s="112"/>
    </row>
    <row r="11" spans="1:8" hidden="1" x14ac:dyDescent="0.25">
      <c r="A11" s="113"/>
      <c r="B11" s="122" t="s">
        <v>26</v>
      </c>
      <c r="C11" s="123"/>
      <c r="D11" s="123"/>
      <c r="E11" s="115"/>
    </row>
    <row r="12" spans="1:8" s="121" customFormat="1" hidden="1" x14ac:dyDescent="0.25">
      <c r="A12" s="109" t="s">
        <v>11</v>
      </c>
      <c r="B12" s="124" t="s">
        <v>540</v>
      </c>
      <c r="C12" s="119">
        <f>SUM(C13,C17)</f>
        <v>0</v>
      </c>
      <c r="D12" s="119">
        <f>SUM(D13,D17)</f>
        <v>0</v>
      </c>
      <c r="E12" s="111" t="e">
        <f>SUM(E13,E17)</f>
        <v>#DIV/0!</v>
      </c>
      <c r="F12" s="112"/>
    </row>
    <row r="13" spans="1:8" s="130" customFormat="1" hidden="1" x14ac:dyDescent="0.25">
      <c r="A13" s="125">
        <v>1</v>
      </c>
      <c r="B13" s="126" t="s">
        <v>541</v>
      </c>
      <c r="C13" s="127">
        <f>SUM(C14:C16)</f>
        <v>0</v>
      </c>
      <c r="D13" s="127">
        <f>SUM(D14:D16)</f>
        <v>0</v>
      </c>
      <c r="E13" s="128" t="e">
        <f>SUM(E14:E16)</f>
        <v>#DIV/0!</v>
      </c>
      <c r="F13" s="129"/>
    </row>
    <row r="14" spans="1:8" hidden="1" x14ac:dyDescent="0.25">
      <c r="A14" s="131" t="s">
        <v>300</v>
      </c>
      <c r="B14" s="132" t="s">
        <v>542</v>
      </c>
      <c r="C14" s="123"/>
      <c r="D14" s="123"/>
      <c r="E14" s="115" t="e">
        <f>D14/C14</f>
        <v>#DIV/0!</v>
      </c>
    </row>
    <row r="15" spans="1:8" hidden="1" x14ac:dyDescent="0.25">
      <c r="A15" s="113" t="s">
        <v>304</v>
      </c>
      <c r="B15" s="132" t="s">
        <v>542</v>
      </c>
      <c r="C15" s="123"/>
      <c r="D15" s="123"/>
      <c r="E15" s="115" t="e">
        <f>D15/C15</f>
        <v>#DIV/0!</v>
      </c>
    </row>
    <row r="16" spans="1:8" hidden="1" x14ac:dyDescent="0.25">
      <c r="A16" s="113" t="s">
        <v>306</v>
      </c>
      <c r="B16" s="132" t="s">
        <v>542</v>
      </c>
      <c r="C16" s="123"/>
      <c r="D16" s="123"/>
      <c r="E16" s="115" t="e">
        <f>D16/C16</f>
        <v>#DIV/0!</v>
      </c>
    </row>
    <row r="17" spans="1:6" s="130" customFormat="1" hidden="1" x14ac:dyDescent="0.25">
      <c r="A17" s="125">
        <v>2</v>
      </c>
      <c r="B17" s="126" t="s">
        <v>541</v>
      </c>
      <c r="C17" s="127">
        <f>SUM(C18:C20)</f>
        <v>0</v>
      </c>
      <c r="D17" s="127">
        <f>SUM(D18:D20)</f>
        <v>0</v>
      </c>
      <c r="E17" s="128" t="e">
        <f>SUM(E18:E20)</f>
        <v>#DIV/0!</v>
      </c>
      <c r="F17" s="129"/>
    </row>
    <row r="18" spans="1:6" hidden="1" x14ac:dyDescent="0.25">
      <c r="A18" s="131" t="s">
        <v>293</v>
      </c>
      <c r="B18" s="132" t="s">
        <v>542</v>
      </c>
      <c r="C18" s="123"/>
      <c r="D18" s="123"/>
      <c r="E18" s="115" t="e">
        <f>D18/C18</f>
        <v>#DIV/0!</v>
      </c>
    </row>
    <row r="19" spans="1:6" hidden="1" x14ac:dyDescent="0.25">
      <c r="A19" s="113" t="s">
        <v>295</v>
      </c>
      <c r="B19" s="132" t="s">
        <v>542</v>
      </c>
      <c r="C19" s="123"/>
      <c r="D19" s="123"/>
      <c r="E19" s="115" t="e">
        <f>D19/C19</f>
        <v>#DIV/0!</v>
      </c>
    </row>
    <row r="20" spans="1:6" hidden="1" x14ac:dyDescent="0.25">
      <c r="A20" s="113" t="s">
        <v>297</v>
      </c>
      <c r="B20" s="132" t="s">
        <v>542</v>
      </c>
      <c r="C20" s="123"/>
      <c r="D20" s="123"/>
      <c r="E20" s="115" t="e">
        <f>D20/C20</f>
        <v>#DIV/0!</v>
      </c>
    </row>
    <row r="21" spans="1:6" s="121" customFormat="1" hidden="1" x14ac:dyDescent="0.25">
      <c r="A21" s="109" t="s">
        <v>7</v>
      </c>
      <c r="B21" s="124" t="s">
        <v>540</v>
      </c>
      <c r="C21" s="119">
        <f>SUM(C22,C26)</f>
        <v>0</v>
      </c>
      <c r="D21" s="119">
        <f>SUM(D22,D26)</f>
        <v>0</v>
      </c>
      <c r="E21" s="111" t="e">
        <f>SUM(E22,E26)</f>
        <v>#DIV/0!</v>
      </c>
      <c r="F21" s="112"/>
    </row>
    <row r="22" spans="1:6" s="130" customFormat="1" hidden="1" x14ac:dyDescent="0.25">
      <c r="A22" s="125">
        <v>1</v>
      </c>
      <c r="B22" s="126" t="s">
        <v>541</v>
      </c>
      <c r="C22" s="127">
        <f>SUM(C23:C25)</f>
        <v>0</v>
      </c>
      <c r="D22" s="127">
        <f>SUM(D23:D25)</f>
        <v>0</v>
      </c>
      <c r="E22" s="128" t="e">
        <f>SUM(E23:E25)</f>
        <v>#DIV/0!</v>
      </c>
      <c r="F22" s="129"/>
    </row>
    <row r="23" spans="1:6" hidden="1" x14ac:dyDescent="0.25">
      <c r="A23" s="131" t="s">
        <v>300</v>
      </c>
      <c r="B23" s="132" t="s">
        <v>542</v>
      </c>
      <c r="C23" s="123"/>
      <c r="D23" s="123"/>
      <c r="E23" s="115" t="e">
        <f>D23/C23</f>
        <v>#DIV/0!</v>
      </c>
    </row>
    <row r="24" spans="1:6" hidden="1" x14ac:dyDescent="0.25">
      <c r="A24" s="113" t="s">
        <v>304</v>
      </c>
      <c r="B24" s="132" t="s">
        <v>542</v>
      </c>
      <c r="C24" s="123"/>
      <c r="D24" s="123"/>
      <c r="E24" s="115" t="e">
        <f>D24/C24</f>
        <v>#DIV/0!</v>
      </c>
    </row>
    <row r="25" spans="1:6" hidden="1" x14ac:dyDescent="0.25">
      <c r="A25" s="113" t="s">
        <v>306</v>
      </c>
      <c r="B25" s="132" t="s">
        <v>542</v>
      </c>
      <c r="C25" s="123"/>
      <c r="D25" s="123"/>
      <c r="E25" s="115" t="e">
        <f>D25/C25</f>
        <v>#DIV/0!</v>
      </c>
    </row>
    <row r="26" spans="1:6" s="130" customFormat="1" hidden="1" x14ac:dyDescent="0.25">
      <c r="A26" s="125">
        <v>2</v>
      </c>
      <c r="B26" s="126" t="s">
        <v>541</v>
      </c>
      <c r="C26" s="127">
        <f>SUM(C27:C29)</f>
        <v>0</v>
      </c>
      <c r="D26" s="127">
        <f>SUM(D27:D29)</f>
        <v>0</v>
      </c>
      <c r="E26" s="128" t="e">
        <f>SUM(E27:E29)</f>
        <v>#DIV/0!</v>
      </c>
      <c r="F26" s="129"/>
    </row>
    <row r="27" spans="1:6" hidden="1" x14ac:dyDescent="0.25">
      <c r="A27" s="131" t="s">
        <v>293</v>
      </c>
      <c r="B27" s="132" t="s">
        <v>542</v>
      </c>
      <c r="C27" s="123"/>
      <c r="D27" s="123"/>
      <c r="E27" s="115" t="e">
        <f t="shared" ref="E27:E40" si="0">D27/C27</f>
        <v>#DIV/0!</v>
      </c>
    </row>
    <row r="28" spans="1:6" hidden="1" x14ac:dyDescent="0.25">
      <c r="A28" s="113" t="s">
        <v>295</v>
      </c>
      <c r="B28" s="132" t="s">
        <v>542</v>
      </c>
      <c r="C28" s="123"/>
      <c r="D28" s="123"/>
      <c r="E28" s="115" t="e">
        <f t="shared" si="0"/>
        <v>#DIV/0!</v>
      </c>
    </row>
    <row r="29" spans="1:6" hidden="1" x14ac:dyDescent="0.25">
      <c r="A29" s="113" t="s">
        <v>297</v>
      </c>
      <c r="B29" s="132" t="s">
        <v>542</v>
      </c>
      <c r="C29" s="123"/>
      <c r="D29" s="123"/>
      <c r="E29" s="115" t="e">
        <f t="shared" si="0"/>
        <v>#DIV/0!</v>
      </c>
    </row>
    <row r="30" spans="1:6" s="121" customFormat="1" ht="21" customHeight="1" x14ac:dyDescent="0.25">
      <c r="A30" s="113">
        <v>1</v>
      </c>
      <c r="B30" s="132" t="s">
        <v>543</v>
      </c>
      <c r="C30" s="123">
        <f>C31+C32</f>
        <v>66450</v>
      </c>
      <c r="D30" s="123">
        <f>D31+D32</f>
        <v>80763</v>
      </c>
      <c r="E30" s="133">
        <f t="shared" si="0"/>
        <v>1.2153950338600452</v>
      </c>
      <c r="F30" s="112"/>
    </row>
    <row r="31" spans="1:6" s="121" customFormat="1" ht="21" customHeight="1" x14ac:dyDescent="0.25">
      <c r="A31" s="109"/>
      <c r="B31" s="134" t="s">
        <v>544</v>
      </c>
      <c r="C31" s="135">
        <v>43586</v>
      </c>
      <c r="D31" s="135">
        <v>49804</v>
      </c>
      <c r="E31" s="136">
        <f t="shared" si="0"/>
        <v>1.1426604873124397</v>
      </c>
      <c r="F31" s="112"/>
    </row>
    <row r="32" spans="1:6" s="121" customFormat="1" ht="21" customHeight="1" x14ac:dyDescent="0.25">
      <c r="A32" s="109"/>
      <c r="B32" s="134" t="s">
        <v>545</v>
      </c>
      <c r="C32" s="135">
        <v>22864</v>
      </c>
      <c r="D32" s="135">
        <v>30959</v>
      </c>
      <c r="E32" s="136">
        <f t="shared" si="0"/>
        <v>1.354050034989503</v>
      </c>
      <c r="F32" s="112"/>
    </row>
    <row r="33" spans="1:6" s="121" customFormat="1" ht="21" customHeight="1" x14ac:dyDescent="0.25">
      <c r="A33" s="113">
        <v>2</v>
      </c>
      <c r="B33" s="137" t="s">
        <v>546</v>
      </c>
      <c r="C33" s="123">
        <v>8872</v>
      </c>
      <c r="D33" s="123">
        <v>11578</v>
      </c>
      <c r="E33" s="133">
        <f t="shared" si="0"/>
        <v>1.305004508566276</v>
      </c>
      <c r="F33" s="112"/>
    </row>
    <row r="34" spans="1:6" s="121" customFormat="1" ht="21" customHeight="1" x14ac:dyDescent="0.25">
      <c r="A34" s="113">
        <v>3</v>
      </c>
      <c r="B34" s="132" t="s">
        <v>547</v>
      </c>
      <c r="C34" s="123">
        <v>843704</v>
      </c>
      <c r="D34" s="123">
        <v>852837</v>
      </c>
      <c r="E34" s="133">
        <f t="shared" si="0"/>
        <v>1.0108248864530689</v>
      </c>
      <c r="F34" s="112"/>
    </row>
    <row r="35" spans="1:6" s="121" customFormat="1" ht="21" customHeight="1" x14ac:dyDescent="0.25">
      <c r="A35" s="113">
        <v>4</v>
      </c>
      <c r="B35" s="132" t="s">
        <v>548</v>
      </c>
      <c r="C35" s="123">
        <v>78600</v>
      </c>
      <c r="D35" s="123">
        <v>79125</v>
      </c>
      <c r="E35" s="133">
        <f t="shared" si="0"/>
        <v>1.0066793893129771</v>
      </c>
      <c r="F35" s="112"/>
    </row>
    <row r="36" spans="1:6" s="121" customFormat="1" ht="21" customHeight="1" x14ac:dyDescent="0.25">
      <c r="A36" s="113">
        <v>5</v>
      </c>
      <c r="B36" s="132" t="s">
        <v>549</v>
      </c>
      <c r="C36" s="123">
        <v>24117</v>
      </c>
      <c r="D36" s="123">
        <v>24858</v>
      </c>
      <c r="E36" s="133">
        <f t="shared" si="0"/>
        <v>1.0307252145789276</v>
      </c>
      <c r="F36" s="112"/>
    </row>
    <row r="37" spans="1:6" s="121" customFormat="1" ht="21" customHeight="1" x14ac:dyDescent="0.25">
      <c r="A37" s="113">
        <v>6</v>
      </c>
      <c r="B37" s="132" t="s">
        <v>550</v>
      </c>
      <c r="C37" s="123">
        <v>400</v>
      </c>
      <c r="D37" s="123">
        <v>455</v>
      </c>
      <c r="E37" s="133">
        <f t="shared" si="0"/>
        <v>1.1375</v>
      </c>
      <c r="F37" s="112"/>
    </row>
    <row r="38" spans="1:6" s="121" customFormat="1" ht="21" customHeight="1" x14ac:dyDescent="0.25">
      <c r="A38" s="113">
        <v>7</v>
      </c>
      <c r="B38" s="132" t="s">
        <v>551</v>
      </c>
      <c r="C38" s="123">
        <v>319680</v>
      </c>
      <c r="D38" s="123">
        <v>362123</v>
      </c>
      <c r="E38" s="133">
        <f t="shared" si="0"/>
        <v>1.1327671421421421</v>
      </c>
      <c r="F38" s="112"/>
    </row>
    <row r="39" spans="1:6" s="121" customFormat="1" ht="18.75" customHeight="1" x14ac:dyDescent="0.25">
      <c r="A39" s="113">
        <v>8</v>
      </c>
      <c r="B39" s="132" t="s">
        <v>552</v>
      </c>
      <c r="C39" s="123">
        <v>3000</v>
      </c>
      <c r="D39" s="123">
        <v>3482</v>
      </c>
      <c r="E39" s="133">
        <f t="shared" si="0"/>
        <v>1.1606666666666667</v>
      </c>
      <c r="F39" s="112"/>
    </row>
    <row r="40" spans="1:6" s="121" customFormat="1" ht="20.25" customHeight="1" x14ac:dyDescent="0.25">
      <c r="A40" s="113">
        <v>9</v>
      </c>
      <c r="B40" s="132" t="s">
        <v>553</v>
      </c>
      <c r="C40" s="123">
        <v>765</v>
      </c>
      <c r="D40" s="123">
        <v>845</v>
      </c>
      <c r="E40" s="133">
        <f t="shared" si="0"/>
        <v>1.1045751633986929</v>
      </c>
      <c r="F40" s="112"/>
    </row>
    <row r="41" spans="1:6" x14ac:dyDescent="0.25">
      <c r="A41" s="151"/>
      <c r="B41" s="108"/>
      <c r="C41" s="139"/>
      <c r="D41" s="139"/>
      <c r="E41" s="140"/>
    </row>
    <row r="42" spans="1:6" x14ac:dyDescent="0.25">
      <c r="A42" s="151"/>
      <c r="C42" s="272"/>
      <c r="D42" s="272"/>
      <c r="E42" s="272"/>
    </row>
    <row r="43" spans="1:6" x14ac:dyDescent="0.25">
      <c r="C43" s="273"/>
      <c r="D43" s="273"/>
      <c r="E43" s="273"/>
    </row>
  </sheetData>
  <mergeCells count="7">
    <mergeCell ref="C42:E42"/>
    <mergeCell ref="C43:E43"/>
    <mergeCell ref="A1:B1"/>
    <mergeCell ref="C1:E1"/>
    <mergeCell ref="A3:E4"/>
    <mergeCell ref="A5:F5"/>
    <mergeCell ref="A7:E7"/>
  </mergeCells>
  <pageMargins left="0.7" right="0.6" top="0.7" bottom="0.6" header="0.3" footer="0.3"/>
  <pageSetup paperSize="9" orientation="portrait" r:id="rId1"/>
  <headerFooter>
    <oddHeader>&amp;RBiểu số 12</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50"/>
  <sheetViews>
    <sheetView workbookViewId="0">
      <selection activeCell="A4" sqref="A4:E4"/>
    </sheetView>
  </sheetViews>
  <sheetFormatPr defaultRowHeight="15" x14ac:dyDescent="0.25"/>
  <cols>
    <col min="1" max="1" width="5" customWidth="1"/>
    <col min="2" max="2" width="45.42578125" customWidth="1"/>
    <col min="3" max="3" width="13.42578125" customWidth="1"/>
    <col min="4" max="4" width="12.7109375" customWidth="1"/>
    <col min="5" max="5" width="11" customWidth="1"/>
  </cols>
  <sheetData>
    <row r="1" spans="1:6" ht="15.75" x14ac:dyDescent="0.25">
      <c r="E1" s="1"/>
    </row>
    <row r="2" spans="1:6" ht="15.75" x14ac:dyDescent="0.25">
      <c r="E2" s="1"/>
    </row>
    <row r="3" spans="1:6" s="154" customFormat="1" ht="35.25" customHeight="1" x14ac:dyDescent="0.25">
      <c r="A3" s="227" t="s">
        <v>523</v>
      </c>
      <c r="B3" s="227"/>
      <c r="C3" s="227"/>
      <c r="D3" s="227"/>
      <c r="E3" s="227"/>
    </row>
    <row r="4" spans="1:6" s="154" customFormat="1" ht="32.25" customHeight="1" x14ac:dyDescent="0.25">
      <c r="A4" s="233" t="s">
        <v>578</v>
      </c>
      <c r="B4" s="234"/>
      <c r="C4" s="234"/>
      <c r="D4" s="234"/>
      <c r="E4" s="234"/>
      <c r="F4" s="147"/>
    </row>
    <row r="5" spans="1:6" s="154" customFormat="1" ht="17.25" customHeight="1" x14ac:dyDescent="0.25">
      <c r="A5" s="145"/>
      <c r="B5" s="145"/>
      <c r="C5" s="145"/>
      <c r="D5" s="145"/>
      <c r="E5" s="145"/>
      <c r="F5" s="50"/>
    </row>
    <row r="6" spans="1:6" s="154" customFormat="1" ht="15.75" x14ac:dyDescent="0.25">
      <c r="E6" s="2" t="s">
        <v>5</v>
      </c>
    </row>
    <row r="7" spans="1:6" s="154" customFormat="1" ht="31.5" x14ac:dyDescent="0.25">
      <c r="A7" s="146" t="s">
        <v>0</v>
      </c>
      <c r="B7" s="146" t="s">
        <v>1</v>
      </c>
      <c r="C7" s="146" t="s">
        <v>124</v>
      </c>
      <c r="D7" s="146" t="s">
        <v>132</v>
      </c>
      <c r="E7" s="146" t="s">
        <v>68</v>
      </c>
    </row>
    <row r="8" spans="1:6" s="154" customFormat="1" ht="15.75" x14ac:dyDescent="0.25">
      <c r="A8" s="146" t="s">
        <v>2</v>
      </c>
      <c r="B8" s="146" t="s">
        <v>3</v>
      </c>
      <c r="C8" s="146">
        <v>1</v>
      </c>
      <c r="D8" s="146">
        <v>2</v>
      </c>
      <c r="E8" s="146">
        <v>3</v>
      </c>
    </row>
    <row r="9" spans="1:6" s="154" customFormat="1" ht="15.75" x14ac:dyDescent="0.25">
      <c r="A9" s="146" t="s">
        <v>2</v>
      </c>
      <c r="B9" s="11" t="s">
        <v>49</v>
      </c>
      <c r="C9" s="42"/>
      <c r="D9" s="42"/>
      <c r="E9" s="42"/>
    </row>
    <row r="10" spans="1:6" s="154" customFormat="1" ht="15.75" x14ac:dyDescent="0.25">
      <c r="A10" s="146" t="s">
        <v>11</v>
      </c>
      <c r="B10" s="11" t="s">
        <v>468</v>
      </c>
      <c r="C10" s="13">
        <f>C11+C12+C15</f>
        <v>8598374</v>
      </c>
      <c r="D10" s="13">
        <f>D11+D12+D15+D17+D18+D19+D20+D16</f>
        <v>14856796</v>
      </c>
      <c r="E10" s="15">
        <f>D10/C10*100</f>
        <v>172.78611049019267</v>
      </c>
    </row>
    <row r="11" spans="1:6" s="154" customFormat="1" ht="15.75" x14ac:dyDescent="0.25">
      <c r="A11" s="42">
        <v>1</v>
      </c>
      <c r="B11" s="6" t="s">
        <v>51</v>
      </c>
      <c r="C11" s="12">
        <f>1903450+3335970</f>
        <v>5239420</v>
      </c>
      <c r="D11" s="12">
        <f>2148014+3792575</f>
        <v>5940589</v>
      </c>
      <c r="E11" s="18">
        <f t="shared" ref="E11:E14" si="0">D11/C11*100</f>
        <v>113.3825690629879</v>
      </c>
    </row>
    <row r="12" spans="1:6" s="154" customFormat="1" ht="15.75" x14ac:dyDescent="0.25">
      <c r="A12" s="42">
        <v>2</v>
      </c>
      <c r="B12" s="6" t="s">
        <v>52</v>
      </c>
      <c r="C12" s="14">
        <f>C13+C14</f>
        <v>3358954</v>
      </c>
      <c r="D12" s="14">
        <f>D13+D14</f>
        <v>3503131</v>
      </c>
      <c r="E12" s="18">
        <f t="shared" si="0"/>
        <v>104.29231838244881</v>
      </c>
    </row>
    <row r="13" spans="1:6" s="154" customFormat="1" ht="15.75" x14ac:dyDescent="0.25">
      <c r="A13" s="42" t="s">
        <v>4</v>
      </c>
      <c r="B13" s="40" t="s">
        <v>137</v>
      </c>
      <c r="C13" s="22">
        <v>1895125</v>
      </c>
      <c r="D13" s="22">
        <v>1937430</v>
      </c>
      <c r="E13" s="24">
        <f t="shared" si="0"/>
        <v>102.23230657608337</v>
      </c>
    </row>
    <row r="14" spans="1:6" s="154" customFormat="1" ht="15.75" x14ac:dyDescent="0.25">
      <c r="A14" s="42" t="s">
        <v>4</v>
      </c>
      <c r="B14" s="40" t="s">
        <v>138</v>
      </c>
      <c r="C14" s="22">
        <f>3358954-C13</f>
        <v>1463829</v>
      </c>
      <c r="D14" s="22">
        <v>1565701</v>
      </c>
      <c r="E14" s="24">
        <f t="shared" si="0"/>
        <v>106.95928281240501</v>
      </c>
    </row>
    <row r="15" spans="1:6" s="154" customFormat="1" ht="15.75" x14ac:dyDescent="0.25">
      <c r="A15" s="42">
        <v>3</v>
      </c>
      <c r="B15" s="6" t="s">
        <v>175</v>
      </c>
      <c r="C15" s="14"/>
      <c r="D15" s="14">
        <v>19334</v>
      </c>
      <c r="E15" s="23"/>
    </row>
    <row r="16" spans="1:6" s="154" customFormat="1" ht="15.75" x14ac:dyDescent="0.25">
      <c r="A16" s="42">
        <v>4</v>
      </c>
      <c r="B16" s="6" t="s">
        <v>35</v>
      </c>
      <c r="C16" s="12"/>
      <c r="D16" s="12">
        <v>36968</v>
      </c>
      <c r="E16" s="42"/>
    </row>
    <row r="17" spans="1:8" s="154" customFormat="1" ht="15.75" x14ac:dyDescent="0.25">
      <c r="A17" s="42">
        <v>5</v>
      </c>
      <c r="B17" s="6" t="s">
        <v>53</v>
      </c>
      <c r="C17" s="12"/>
      <c r="D17" s="12">
        <v>230280</v>
      </c>
      <c r="E17" s="42"/>
    </row>
    <row r="18" spans="1:8" s="154" customFormat="1" ht="15.75" x14ac:dyDescent="0.25">
      <c r="A18" s="42">
        <v>6</v>
      </c>
      <c r="B18" s="6" t="s">
        <v>36</v>
      </c>
      <c r="C18" s="12"/>
      <c r="D18" s="12">
        <v>5102802</v>
      </c>
      <c r="E18" s="42"/>
    </row>
    <row r="19" spans="1:8" s="154" customFormat="1" ht="15.75" x14ac:dyDescent="0.25">
      <c r="A19" s="42">
        <v>7</v>
      </c>
      <c r="B19" s="6" t="s">
        <v>177</v>
      </c>
      <c r="C19" s="12"/>
      <c r="D19" s="12">
        <v>22932</v>
      </c>
      <c r="E19" s="42"/>
    </row>
    <row r="20" spans="1:8" s="154" customFormat="1" ht="15.75" x14ac:dyDescent="0.25">
      <c r="A20" s="42">
        <v>8</v>
      </c>
      <c r="B20" s="6" t="s">
        <v>81</v>
      </c>
      <c r="C20" s="12"/>
      <c r="D20" s="12">
        <v>760</v>
      </c>
      <c r="E20" s="42"/>
    </row>
    <row r="21" spans="1:8" s="154" customFormat="1" ht="15.75" x14ac:dyDescent="0.25">
      <c r="A21" s="146" t="s">
        <v>7</v>
      </c>
      <c r="B21" s="11" t="s">
        <v>54</v>
      </c>
      <c r="C21" s="13">
        <f>C22+C23+C28</f>
        <v>8598374</v>
      </c>
      <c r="D21" s="13">
        <f>D22+D23+D26</f>
        <v>14555971</v>
      </c>
      <c r="E21" s="15">
        <f>D21/C21*100</f>
        <v>169.28748388939582</v>
      </c>
    </row>
    <row r="22" spans="1:8" s="154" customFormat="1" ht="15.75" x14ac:dyDescent="0.25">
      <c r="A22" s="42">
        <v>1</v>
      </c>
      <c r="B22" s="6" t="s">
        <v>55</v>
      </c>
      <c r="C22" s="12">
        <v>6032280</v>
      </c>
      <c r="D22" s="12">
        <f>3012963+733+2499530+198007+1000+29000</f>
        <v>5741233</v>
      </c>
      <c r="E22" s="17">
        <f t="shared" ref="E22:E24" si="1">D22/C22*100</f>
        <v>95.175174229312958</v>
      </c>
    </row>
    <row r="23" spans="1:8" s="154" customFormat="1" ht="15.75" x14ac:dyDescent="0.25">
      <c r="A23" s="42">
        <v>2</v>
      </c>
      <c r="B23" s="6" t="s">
        <v>59</v>
      </c>
      <c r="C23" s="12">
        <f>C24+C25</f>
        <v>2558494</v>
      </c>
      <c r="D23" s="12">
        <f>D24+D25</f>
        <v>3520133</v>
      </c>
      <c r="E23" s="17">
        <f t="shared" si="1"/>
        <v>137.58613465577795</v>
      </c>
    </row>
    <row r="24" spans="1:8" s="154" customFormat="1" ht="15.75" x14ac:dyDescent="0.25">
      <c r="A24" s="42" t="s">
        <v>4</v>
      </c>
      <c r="B24" s="40" t="s">
        <v>56</v>
      </c>
      <c r="C24" s="22">
        <v>2459120</v>
      </c>
      <c r="D24" s="22">
        <v>2459120</v>
      </c>
      <c r="E24" s="24">
        <f t="shared" si="1"/>
        <v>100</v>
      </c>
    </row>
    <row r="25" spans="1:8" s="154" customFormat="1" ht="15.75" x14ac:dyDescent="0.25">
      <c r="A25" s="42" t="s">
        <v>4</v>
      </c>
      <c r="B25" s="40" t="s">
        <v>57</v>
      </c>
      <c r="C25" s="22">
        <f>2558494-C24</f>
        <v>99374</v>
      </c>
      <c r="D25" s="22">
        <v>1061013</v>
      </c>
      <c r="E25" s="24"/>
    </row>
    <row r="26" spans="1:8" s="154" customFormat="1" ht="15.75" x14ac:dyDescent="0.25">
      <c r="A26" s="42">
        <v>3</v>
      </c>
      <c r="B26" s="6" t="s">
        <v>42</v>
      </c>
      <c r="C26" s="12"/>
      <c r="D26" s="12">
        <v>5294605</v>
      </c>
      <c r="E26" s="15"/>
    </row>
    <row r="27" spans="1:8" s="154" customFormat="1" ht="31.5" hidden="1" x14ac:dyDescent="0.25">
      <c r="A27" s="146" t="s">
        <v>8</v>
      </c>
      <c r="B27" s="11" t="s">
        <v>253</v>
      </c>
      <c r="C27" s="42"/>
      <c r="D27" s="42"/>
      <c r="E27" s="42"/>
    </row>
    <row r="28" spans="1:8" s="154" customFormat="1" ht="15.75" x14ac:dyDescent="0.25">
      <c r="A28" s="42">
        <v>4</v>
      </c>
      <c r="B28" s="6" t="s">
        <v>524</v>
      </c>
      <c r="C28" s="12">
        <v>7600</v>
      </c>
      <c r="D28" s="42"/>
      <c r="E28" s="42"/>
    </row>
    <row r="29" spans="1:8" s="154" customFormat="1" ht="15.75" x14ac:dyDescent="0.25">
      <c r="A29" s="146" t="s">
        <v>8</v>
      </c>
      <c r="B29" s="11" t="s">
        <v>466</v>
      </c>
      <c r="C29" s="42"/>
      <c r="D29" s="13">
        <f>D10-D21</f>
        <v>300825</v>
      </c>
      <c r="E29" s="42"/>
    </row>
    <row r="30" spans="1:8" s="154" customFormat="1" ht="15.75" x14ac:dyDescent="0.25">
      <c r="A30" s="146" t="s">
        <v>3</v>
      </c>
      <c r="B30" s="11" t="s">
        <v>58</v>
      </c>
      <c r="C30" s="42"/>
      <c r="D30" s="42"/>
      <c r="E30" s="42"/>
    </row>
    <row r="31" spans="1:8" s="154" customFormat="1" ht="15.75" x14ac:dyDescent="0.25">
      <c r="A31" s="146" t="s">
        <v>11</v>
      </c>
      <c r="B31" s="11" t="s">
        <v>50</v>
      </c>
      <c r="C31" s="13">
        <f>C32+C33</f>
        <v>4338594</v>
      </c>
      <c r="D31" s="13">
        <f>D32+D33+D36+D37+D38</f>
        <v>8996742</v>
      </c>
      <c r="E31" s="15">
        <f>D31/C31*100</f>
        <v>207.36538150377748</v>
      </c>
      <c r="H31" s="155"/>
    </row>
    <row r="32" spans="1:8" s="154" customFormat="1" ht="15.75" x14ac:dyDescent="0.25">
      <c r="A32" s="42">
        <v>1</v>
      </c>
      <c r="B32" s="6" t="s">
        <v>51</v>
      </c>
      <c r="C32" s="12">
        <v>1780100</v>
      </c>
      <c r="D32" s="12">
        <f>697855+61423+1244422+201015</f>
        <v>2204715</v>
      </c>
      <c r="E32" s="15">
        <f t="shared" ref="E32:E33" si="2">D32/C32*100</f>
        <v>123.85343520026966</v>
      </c>
    </row>
    <row r="33" spans="1:8" s="154" customFormat="1" ht="15.75" x14ac:dyDescent="0.25">
      <c r="A33" s="42">
        <v>2</v>
      </c>
      <c r="B33" s="6" t="s">
        <v>52</v>
      </c>
      <c r="C33" s="12">
        <f>C34+C35</f>
        <v>2558494</v>
      </c>
      <c r="D33" s="12">
        <f>D34+D35</f>
        <v>4294750</v>
      </c>
      <c r="E33" s="15">
        <f t="shared" si="2"/>
        <v>167.8624221905543</v>
      </c>
    </row>
    <row r="34" spans="1:8" s="154" customFormat="1" ht="15.75" x14ac:dyDescent="0.25">
      <c r="A34" s="42" t="s">
        <v>4</v>
      </c>
      <c r="B34" s="40" t="s">
        <v>34</v>
      </c>
      <c r="C34" s="22">
        <v>2459120</v>
      </c>
      <c r="D34" s="22">
        <f>2459120+411631</f>
        <v>2870751</v>
      </c>
      <c r="E34" s="24"/>
    </row>
    <row r="35" spans="1:8" s="154" customFormat="1" ht="15.75" x14ac:dyDescent="0.25">
      <c r="A35" s="42" t="s">
        <v>4</v>
      </c>
      <c r="B35" s="40" t="s">
        <v>12</v>
      </c>
      <c r="C35" s="22">
        <f>2558494-C34</f>
        <v>99374</v>
      </c>
      <c r="D35" s="22">
        <f>1061013+362986</f>
        <v>1423999</v>
      </c>
      <c r="E35" s="24"/>
    </row>
    <row r="36" spans="1:8" s="154" customFormat="1" ht="15.75" x14ac:dyDescent="0.25">
      <c r="A36" s="42">
        <v>3</v>
      </c>
      <c r="B36" s="6" t="s">
        <v>53</v>
      </c>
      <c r="C36" s="21"/>
      <c r="D36" s="12">
        <f>752709+212894</f>
        <v>965603</v>
      </c>
      <c r="E36" s="15"/>
    </row>
    <row r="37" spans="1:8" s="154" customFormat="1" ht="15.75" x14ac:dyDescent="0.25">
      <c r="A37" s="42">
        <v>4</v>
      </c>
      <c r="B37" s="6" t="s">
        <v>36</v>
      </c>
      <c r="C37" s="21"/>
      <c r="D37" s="12">
        <f>1431709+93418</f>
        <v>1525127</v>
      </c>
      <c r="E37" s="15"/>
    </row>
    <row r="38" spans="1:8" s="154" customFormat="1" ht="15.75" x14ac:dyDescent="0.25">
      <c r="A38" s="42">
        <v>5</v>
      </c>
      <c r="B38" s="6" t="s">
        <v>177</v>
      </c>
      <c r="C38" s="21"/>
      <c r="D38" s="12">
        <v>6547</v>
      </c>
      <c r="E38" s="15"/>
      <c r="F38" s="155"/>
    </row>
    <row r="39" spans="1:8" s="154" customFormat="1" ht="15.75" x14ac:dyDescent="0.25">
      <c r="A39" s="146" t="s">
        <v>7</v>
      </c>
      <c r="B39" s="11" t="s">
        <v>54</v>
      </c>
      <c r="C39" s="13">
        <f>C40</f>
        <v>4338594</v>
      </c>
      <c r="D39" s="13">
        <f>D40+D41+D44</f>
        <v>7417960</v>
      </c>
      <c r="E39" s="15">
        <f>D39/C39*100</f>
        <v>170.97612728916326</v>
      </c>
      <c r="G39" s="155"/>
      <c r="H39" s="155"/>
    </row>
    <row r="40" spans="1:8" s="154" customFormat="1" ht="15.75" x14ac:dyDescent="0.25">
      <c r="A40" s="42">
        <v>1</v>
      </c>
      <c r="B40" s="6" t="s">
        <v>243</v>
      </c>
      <c r="C40" s="12">
        <v>4338594</v>
      </c>
      <c r="D40" s="12">
        <f>705183+123084+3374808+808470+22932+6547</f>
        <v>5041024</v>
      </c>
      <c r="E40" s="18">
        <f t="shared" ref="E40" si="3">D40/C40*100</f>
        <v>116.19026809146004</v>
      </c>
    </row>
    <row r="41" spans="1:8" s="154" customFormat="1" ht="15.75" x14ac:dyDescent="0.25">
      <c r="A41" s="42">
        <v>2</v>
      </c>
      <c r="B41" s="6" t="s">
        <v>242</v>
      </c>
      <c r="C41" s="21"/>
      <c r="D41" s="12">
        <f>D42+D43</f>
        <v>774617</v>
      </c>
      <c r="E41" s="42"/>
    </row>
    <row r="42" spans="1:8" s="154" customFormat="1" ht="15.75" x14ac:dyDescent="0.25">
      <c r="A42" s="42" t="s">
        <v>4</v>
      </c>
      <c r="B42" s="40" t="s">
        <v>56</v>
      </c>
      <c r="C42" s="21"/>
      <c r="D42" s="22">
        <v>411631</v>
      </c>
      <c r="E42" s="42"/>
    </row>
    <row r="43" spans="1:8" s="154" customFormat="1" ht="15.75" x14ac:dyDescent="0.25">
      <c r="A43" s="42" t="s">
        <v>4</v>
      </c>
      <c r="B43" s="40" t="s">
        <v>57</v>
      </c>
      <c r="C43" s="21"/>
      <c r="D43" s="22">
        <v>362986</v>
      </c>
      <c r="E43" s="42"/>
    </row>
    <row r="44" spans="1:8" s="154" customFormat="1" ht="15.75" x14ac:dyDescent="0.25">
      <c r="A44" s="42">
        <v>3</v>
      </c>
      <c r="B44" s="6" t="s">
        <v>42</v>
      </c>
      <c r="C44" s="21"/>
      <c r="D44" s="12">
        <f>1441495+160824</f>
        <v>1602319</v>
      </c>
      <c r="E44" s="42"/>
    </row>
    <row r="45" spans="1:8" s="154" customFormat="1" ht="15.75" x14ac:dyDescent="0.25">
      <c r="A45" s="146" t="s">
        <v>8</v>
      </c>
      <c r="B45" s="11" t="s">
        <v>467</v>
      </c>
      <c r="C45" s="21"/>
      <c r="D45" s="13">
        <f>D31-D39</f>
        <v>1578782</v>
      </c>
      <c r="E45" s="42"/>
    </row>
    <row r="46" spans="1:8" s="154" customFormat="1" ht="16.5" customHeight="1" x14ac:dyDescent="0.25">
      <c r="A46" s="3"/>
    </row>
    <row r="47" spans="1:8" s="9" customFormat="1" ht="18" customHeight="1" x14ac:dyDescent="0.25">
      <c r="A47" s="232"/>
      <c r="B47" s="232"/>
      <c r="C47" s="232"/>
      <c r="D47" s="232"/>
      <c r="E47" s="232"/>
    </row>
    <row r="48" spans="1:8" ht="15.75" x14ac:dyDescent="0.25">
      <c r="A48" s="232"/>
      <c r="B48" s="232"/>
      <c r="C48" s="232"/>
      <c r="D48" s="232"/>
      <c r="E48" s="232"/>
    </row>
    <row r="49" spans="1:1" x14ac:dyDescent="0.25">
      <c r="A49" s="10"/>
    </row>
    <row r="50" spans="1:1" x14ac:dyDescent="0.25">
      <c r="A50" s="10"/>
    </row>
  </sheetData>
  <mergeCells count="4">
    <mergeCell ref="A3:E3"/>
    <mergeCell ref="A47:E47"/>
    <mergeCell ref="A48:E48"/>
    <mergeCell ref="A4:E4"/>
  </mergeCells>
  <pageMargins left="0.7" right="0.6" top="0.7" bottom="0.6" header="0.3" footer="0.3"/>
  <pageSetup paperSize="9" orientation="portrait" r:id="rId1"/>
  <headerFooter>
    <oddHeader>&amp;RBiểu số 02</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87"/>
  <sheetViews>
    <sheetView workbookViewId="0">
      <selection activeCell="A4" sqref="A4:H4"/>
    </sheetView>
  </sheetViews>
  <sheetFormatPr defaultRowHeight="15" x14ac:dyDescent="0.25"/>
  <cols>
    <col min="1" max="1" width="4.85546875" customWidth="1"/>
    <col min="2" max="2" width="49.42578125" customWidth="1"/>
    <col min="3" max="3" width="13.7109375" customWidth="1"/>
    <col min="4" max="5" width="13.140625" customWidth="1"/>
    <col min="6" max="6" width="13.28515625" customWidth="1"/>
    <col min="7" max="8" width="12.42578125" customWidth="1"/>
  </cols>
  <sheetData>
    <row r="1" spans="1:12" ht="15.75" x14ac:dyDescent="0.25">
      <c r="H1" s="1"/>
    </row>
    <row r="2" spans="1:12" ht="15.75" x14ac:dyDescent="0.25">
      <c r="H2" s="1"/>
    </row>
    <row r="3" spans="1:12" s="154" customFormat="1" ht="15.75" x14ac:dyDescent="0.25">
      <c r="A3" s="227" t="s">
        <v>525</v>
      </c>
      <c r="B3" s="227"/>
      <c r="C3" s="227"/>
      <c r="D3" s="227"/>
      <c r="E3" s="227"/>
      <c r="F3" s="227"/>
      <c r="G3" s="227"/>
      <c r="H3" s="227"/>
    </row>
    <row r="4" spans="1:12" s="154" customFormat="1" ht="15.75" x14ac:dyDescent="0.25">
      <c r="A4" s="235" t="s">
        <v>579</v>
      </c>
      <c r="B4" s="235"/>
      <c r="C4" s="235"/>
      <c r="D4" s="235"/>
      <c r="E4" s="235"/>
      <c r="F4" s="235"/>
      <c r="G4" s="235"/>
      <c r="H4" s="235"/>
    </row>
    <row r="5" spans="1:12" s="154" customFormat="1" ht="15.75" x14ac:dyDescent="0.25">
      <c r="A5" s="64"/>
      <c r="B5" s="64"/>
      <c r="C5" s="64"/>
      <c r="D5" s="64"/>
      <c r="E5" s="64"/>
      <c r="F5" s="64"/>
      <c r="G5" s="64"/>
      <c r="H5" s="64"/>
    </row>
    <row r="6" spans="1:12" s="154" customFormat="1" ht="15.75" x14ac:dyDescent="0.25">
      <c r="H6" s="2" t="s">
        <v>556</v>
      </c>
    </row>
    <row r="7" spans="1:12" s="154" customFormat="1" ht="18" customHeight="1" x14ac:dyDescent="0.25">
      <c r="A7" s="231" t="s">
        <v>557</v>
      </c>
      <c r="B7" s="231" t="s">
        <v>1</v>
      </c>
      <c r="C7" s="231" t="s">
        <v>124</v>
      </c>
      <c r="D7" s="231"/>
      <c r="E7" s="231" t="s">
        <v>132</v>
      </c>
      <c r="F7" s="231"/>
      <c r="G7" s="231" t="s">
        <v>68</v>
      </c>
      <c r="H7" s="231"/>
    </row>
    <row r="8" spans="1:12" s="154" customFormat="1" ht="34.5" customHeight="1" x14ac:dyDescent="0.25">
      <c r="A8" s="231"/>
      <c r="B8" s="231"/>
      <c r="C8" s="146" t="s">
        <v>69</v>
      </c>
      <c r="D8" s="146" t="s">
        <v>70</v>
      </c>
      <c r="E8" s="146" t="s">
        <v>69</v>
      </c>
      <c r="F8" s="146" t="s">
        <v>70</v>
      </c>
      <c r="G8" s="146" t="s">
        <v>69</v>
      </c>
      <c r="H8" s="146" t="s">
        <v>70</v>
      </c>
    </row>
    <row r="9" spans="1:12" s="154" customFormat="1" ht="15.75" x14ac:dyDescent="0.25">
      <c r="A9" s="146" t="s">
        <v>2</v>
      </c>
      <c r="B9" s="146" t="s">
        <v>3</v>
      </c>
      <c r="C9" s="146">
        <v>1</v>
      </c>
      <c r="D9" s="146">
        <v>2</v>
      </c>
      <c r="E9" s="146">
        <v>3</v>
      </c>
      <c r="F9" s="146">
        <v>4</v>
      </c>
      <c r="G9" s="146" t="s">
        <v>71</v>
      </c>
      <c r="H9" s="146" t="s">
        <v>72</v>
      </c>
    </row>
    <row r="10" spans="1:12" s="154" customFormat="1" ht="15.75" x14ac:dyDescent="0.25">
      <c r="A10" s="146"/>
      <c r="B10" s="11" t="s">
        <v>461</v>
      </c>
      <c r="C10" s="33">
        <f>C11</f>
        <v>10750000</v>
      </c>
      <c r="D10" s="33">
        <f>D11+D77+D78</f>
        <v>10378474</v>
      </c>
      <c r="E10" s="33">
        <f>E11+E77+E80+E81+E78+E79</f>
        <v>26867287</v>
      </c>
      <c r="F10" s="33">
        <f>F11+F77+F80+F81+F78+F79</f>
        <v>23853538</v>
      </c>
      <c r="G10" s="34">
        <f>E10/C10*100</f>
        <v>249.92825116279073</v>
      </c>
      <c r="H10" s="34">
        <f>F10/D10*100</f>
        <v>229.83665999452327</v>
      </c>
    </row>
    <row r="11" spans="1:12" s="154" customFormat="1" ht="15.75" x14ac:dyDescent="0.25">
      <c r="A11" s="146" t="s">
        <v>2</v>
      </c>
      <c r="B11" s="11" t="s">
        <v>139</v>
      </c>
      <c r="C11" s="13">
        <f>C12+C66+C67</f>
        <v>10750000</v>
      </c>
      <c r="D11" s="13">
        <f>D12+D66+D67</f>
        <v>7019520</v>
      </c>
      <c r="E11" s="13">
        <f>E12+E66+E67+E75+E76</f>
        <v>10998774</v>
      </c>
      <c r="F11" s="13">
        <f>F12+F66+F67+F75+F76</f>
        <v>8183032</v>
      </c>
      <c r="G11" s="34">
        <f t="shared" ref="G11:H13" si="0">E11/C11*100</f>
        <v>102.31417674418604</v>
      </c>
      <c r="H11" s="34">
        <f t="shared" si="0"/>
        <v>116.57537837345005</v>
      </c>
      <c r="I11" s="155"/>
    </row>
    <row r="12" spans="1:12" s="154" customFormat="1" ht="15.75" x14ac:dyDescent="0.25">
      <c r="A12" s="146" t="s">
        <v>11</v>
      </c>
      <c r="B12" s="11" t="s">
        <v>6</v>
      </c>
      <c r="C12" s="13">
        <f>C13+C19+C26+C33+C40+C41+C44+C45+C50+C51+C52+C53+C54+C55+C60+C61+C62+C65</f>
        <v>7650000</v>
      </c>
      <c r="D12" s="13">
        <f>D13+D19+D26+D33+D40+D41+D44+D45+D50+D51+D52+D53+D54+D55+D60+D61+D62+D65</f>
        <v>7019520</v>
      </c>
      <c r="E12" s="13">
        <f>E13+E19+E26+E33+E40+E41+E44+E45+E50+E51+E52+E53+E54+E55+E60+E61+E62+E65</f>
        <v>8632864</v>
      </c>
      <c r="F12" s="13">
        <f>F13+F19+F26+F33+F40+F41+F44+F45+F50+F51+F52+F53+F54+F55+F60+F61+F62+F65</f>
        <v>8145304</v>
      </c>
      <c r="G12" s="15">
        <f t="shared" si="0"/>
        <v>112.84789542483659</v>
      </c>
      <c r="H12" s="34">
        <f t="shared" si="0"/>
        <v>116.03790572574763</v>
      </c>
    </row>
    <row r="13" spans="1:12" s="154" customFormat="1" ht="20.25" customHeight="1" x14ac:dyDescent="0.25">
      <c r="A13" s="26">
        <v>1</v>
      </c>
      <c r="B13" s="25" t="s">
        <v>179</v>
      </c>
      <c r="C13" s="29">
        <f>SUM(C14:C18)</f>
        <v>1400000</v>
      </c>
      <c r="D13" s="29">
        <f>SUM(D14:D18)</f>
        <v>1400000</v>
      </c>
      <c r="E13" s="29">
        <f>SUM(E14:E18)</f>
        <v>891013</v>
      </c>
      <c r="F13" s="29">
        <f>SUM(F14:F18)</f>
        <v>891013</v>
      </c>
      <c r="G13" s="17">
        <f t="shared" si="0"/>
        <v>63.64378571428572</v>
      </c>
      <c r="H13" s="17">
        <f t="shared" si="0"/>
        <v>63.64378571428572</v>
      </c>
    </row>
    <row r="14" spans="1:12" s="154" customFormat="1" ht="15.75" x14ac:dyDescent="0.25">
      <c r="A14" s="6"/>
      <c r="B14" s="30" t="s">
        <v>180</v>
      </c>
      <c r="C14" s="31">
        <v>1152000</v>
      </c>
      <c r="D14" s="31">
        <v>1152000</v>
      </c>
      <c r="E14" s="31">
        <v>665432</v>
      </c>
      <c r="F14" s="31">
        <v>665432</v>
      </c>
      <c r="G14" s="27"/>
      <c r="H14" s="27"/>
    </row>
    <row r="15" spans="1:12" s="154" customFormat="1" ht="15.75" x14ac:dyDescent="0.25">
      <c r="A15" s="6"/>
      <c r="B15" s="30" t="s">
        <v>181</v>
      </c>
      <c r="C15" s="31">
        <v>162000</v>
      </c>
      <c r="D15" s="31">
        <v>162000</v>
      </c>
      <c r="E15" s="31">
        <v>156743</v>
      </c>
      <c r="F15" s="31">
        <v>156743</v>
      </c>
      <c r="G15" s="27"/>
      <c r="H15" s="27"/>
    </row>
    <row r="16" spans="1:12" s="154" customFormat="1" ht="15.75" hidden="1" x14ac:dyDescent="0.25">
      <c r="A16" s="6"/>
      <c r="B16" s="30" t="s">
        <v>182</v>
      </c>
      <c r="C16" s="31"/>
      <c r="D16" s="31"/>
      <c r="E16" s="31"/>
      <c r="F16" s="31"/>
      <c r="G16" s="27"/>
      <c r="H16" s="27"/>
      <c r="J16" s="155"/>
      <c r="K16" s="155"/>
      <c r="L16" s="155"/>
    </row>
    <row r="17" spans="1:11" s="154" customFormat="1" ht="15.75" x14ac:dyDescent="0.25">
      <c r="A17" s="6"/>
      <c r="B17" s="30" t="s">
        <v>183</v>
      </c>
      <c r="C17" s="31">
        <v>86000</v>
      </c>
      <c r="D17" s="31">
        <v>86000</v>
      </c>
      <c r="E17" s="31">
        <v>68838</v>
      </c>
      <c r="F17" s="31">
        <v>68838</v>
      </c>
      <c r="G17" s="27"/>
      <c r="H17" s="27"/>
      <c r="K17" s="155"/>
    </row>
    <row r="18" spans="1:11" s="154" customFormat="1" ht="15.75" hidden="1" x14ac:dyDescent="0.25">
      <c r="A18" s="6"/>
      <c r="B18" s="30" t="s">
        <v>184</v>
      </c>
      <c r="C18" s="27"/>
      <c r="D18" s="27"/>
      <c r="E18" s="31"/>
      <c r="F18" s="31"/>
      <c r="G18" s="27"/>
      <c r="H18" s="27"/>
    </row>
    <row r="19" spans="1:11" s="154" customFormat="1" ht="22.5" customHeight="1" x14ac:dyDescent="0.25">
      <c r="A19" s="42">
        <v>2</v>
      </c>
      <c r="B19" s="6" t="s">
        <v>185</v>
      </c>
      <c r="C19" s="32">
        <f>SUM(C20:C24)</f>
        <v>138000</v>
      </c>
      <c r="D19" s="32">
        <f>SUM(D20:D24)</f>
        <v>138000</v>
      </c>
      <c r="E19" s="32">
        <f>SUM(E20:E25)</f>
        <v>161780</v>
      </c>
      <c r="F19" s="32">
        <f>SUM(F20:F25)</f>
        <v>161780</v>
      </c>
      <c r="G19" s="35">
        <f>E19/C19*100</f>
        <v>117.23188405797103</v>
      </c>
      <c r="H19" s="35">
        <f>F19/D19*100</f>
        <v>117.23188405797103</v>
      </c>
    </row>
    <row r="20" spans="1:11" s="154" customFormat="1" ht="15.75" x14ac:dyDescent="0.25">
      <c r="A20" s="6"/>
      <c r="B20" s="30" t="s">
        <v>180</v>
      </c>
      <c r="C20" s="31">
        <v>87300</v>
      </c>
      <c r="D20" s="27">
        <v>87300</v>
      </c>
      <c r="E20" s="27">
        <v>75828</v>
      </c>
      <c r="F20" s="27">
        <v>75828</v>
      </c>
      <c r="G20" s="35"/>
      <c r="H20" s="27"/>
    </row>
    <row r="21" spans="1:11" s="154" customFormat="1" ht="15.75" x14ac:dyDescent="0.25">
      <c r="A21" s="6"/>
      <c r="B21" s="30" t="s">
        <v>181</v>
      </c>
      <c r="C21" s="31">
        <v>38000</v>
      </c>
      <c r="D21" s="27">
        <v>38000</v>
      </c>
      <c r="E21" s="27">
        <v>64050</v>
      </c>
      <c r="F21" s="27">
        <v>64050</v>
      </c>
      <c r="G21" s="35"/>
      <c r="H21" s="27"/>
    </row>
    <row r="22" spans="1:11" s="154" customFormat="1" ht="15.75" x14ac:dyDescent="0.25">
      <c r="A22" s="6"/>
      <c r="B22" s="30" t="s">
        <v>182</v>
      </c>
      <c r="C22" s="31">
        <v>650</v>
      </c>
      <c r="D22" s="27">
        <v>650</v>
      </c>
      <c r="E22" s="27">
        <v>479</v>
      </c>
      <c r="F22" s="27">
        <v>479</v>
      </c>
      <c r="G22" s="35"/>
      <c r="H22" s="27"/>
    </row>
    <row r="23" spans="1:11" s="154" customFormat="1" ht="15.75" x14ac:dyDescent="0.25">
      <c r="A23" s="6"/>
      <c r="B23" s="30" t="s">
        <v>183</v>
      </c>
      <c r="C23" s="31">
        <v>12050</v>
      </c>
      <c r="D23" s="27">
        <v>12050</v>
      </c>
      <c r="E23" s="27">
        <v>21423</v>
      </c>
      <c r="F23" s="27">
        <v>21423</v>
      </c>
      <c r="G23" s="35"/>
      <c r="H23" s="27"/>
    </row>
    <row r="24" spans="1:11" s="154" customFormat="1" ht="15.75" hidden="1" x14ac:dyDescent="0.25">
      <c r="A24" s="6"/>
      <c r="B24" s="30" t="s">
        <v>192</v>
      </c>
      <c r="C24" s="27"/>
      <c r="D24" s="27"/>
      <c r="E24" s="27"/>
      <c r="F24" s="27"/>
      <c r="G24" s="35"/>
      <c r="H24" s="27"/>
    </row>
    <row r="25" spans="1:11" s="154" customFormat="1" ht="15.75" hidden="1" x14ac:dyDescent="0.25">
      <c r="A25" s="6"/>
      <c r="B25" s="30" t="s">
        <v>184</v>
      </c>
      <c r="C25" s="27"/>
      <c r="D25" s="27"/>
      <c r="E25" s="27"/>
      <c r="F25" s="27"/>
      <c r="G25" s="35"/>
      <c r="H25" s="27"/>
    </row>
    <row r="26" spans="1:11" s="154" customFormat="1" ht="22.5" customHeight="1" x14ac:dyDescent="0.25">
      <c r="A26" s="42">
        <v>3</v>
      </c>
      <c r="B26" s="6" t="s">
        <v>186</v>
      </c>
      <c r="C26" s="32">
        <f>SUM(C27:C32)</f>
        <v>560000</v>
      </c>
      <c r="D26" s="32">
        <f>SUM(D27:D32)</f>
        <v>560000</v>
      </c>
      <c r="E26" s="27">
        <f>SUM(E27:E32)</f>
        <v>1099068</v>
      </c>
      <c r="F26" s="27">
        <f>SUM(F27:F32)</f>
        <v>1099068</v>
      </c>
      <c r="G26" s="35">
        <f t="shared" ref="G26" si="1">E26/C26*100</f>
        <v>196.26214285714286</v>
      </c>
      <c r="H26" s="35">
        <f>F26/D26*100</f>
        <v>196.26214285714286</v>
      </c>
    </row>
    <row r="27" spans="1:11" s="154" customFormat="1" ht="15.75" x14ac:dyDescent="0.25">
      <c r="A27" s="6"/>
      <c r="B27" s="30" t="s">
        <v>180</v>
      </c>
      <c r="C27" s="31">
        <v>457000</v>
      </c>
      <c r="D27" s="27">
        <v>457000</v>
      </c>
      <c r="E27" s="31">
        <v>896612</v>
      </c>
      <c r="F27" s="31">
        <v>896612</v>
      </c>
      <c r="G27" s="35"/>
      <c r="H27" s="27"/>
    </row>
    <row r="28" spans="1:11" s="154" customFormat="1" ht="15.75" x14ac:dyDescent="0.25">
      <c r="A28" s="6"/>
      <c r="B28" s="30" t="s">
        <v>181</v>
      </c>
      <c r="C28" s="31">
        <v>102000</v>
      </c>
      <c r="D28" s="27">
        <v>102000</v>
      </c>
      <c r="E28" s="31">
        <v>201606</v>
      </c>
      <c r="F28" s="31">
        <v>201606</v>
      </c>
      <c r="G28" s="27"/>
      <c r="H28" s="27"/>
    </row>
    <row r="29" spans="1:11" s="154" customFormat="1" ht="15.75" x14ac:dyDescent="0.25">
      <c r="A29" s="6"/>
      <c r="B29" s="30" t="s">
        <v>182</v>
      </c>
      <c r="C29" s="31">
        <v>400</v>
      </c>
      <c r="D29" s="27">
        <v>400</v>
      </c>
      <c r="E29" s="31">
        <v>108</v>
      </c>
      <c r="F29" s="31">
        <v>108</v>
      </c>
      <c r="G29" s="27"/>
      <c r="H29" s="27"/>
    </row>
    <row r="30" spans="1:11" s="154" customFormat="1" ht="15.75" x14ac:dyDescent="0.25">
      <c r="A30" s="6"/>
      <c r="B30" s="30" t="s">
        <v>183</v>
      </c>
      <c r="C30" s="31">
        <v>600</v>
      </c>
      <c r="D30" s="27">
        <v>600</v>
      </c>
      <c r="E30" s="31">
        <v>742</v>
      </c>
      <c r="F30" s="31">
        <v>742</v>
      </c>
      <c r="G30" s="27"/>
      <c r="H30" s="27"/>
    </row>
    <row r="31" spans="1:11" s="154" customFormat="1" ht="15.75" hidden="1" x14ac:dyDescent="0.25">
      <c r="A31" s="6"/>
      <c r="B31" s="30" t="s">
        <v>187</v>
      </c>
      <c r="C31" s="31"/>
      <c r="D31" s="27"/>
      <c r="E31" s="31"/>
      <c r="F31" s="31"/>
      <c r="G31" s="27"/>
      <c r="H31" s="27"/>
    </row>
    <row r="32" spans="1:11" s="154" customFormat="1" ht="15.75" hidden="1" x14ac:dyDescent="0.25">
      <c r="A32" s="6"/>
      <c r="B32" s="30" t="s">
        <v>184</v>
      </c>
      <c r="C32" s="27"/>
      <c r="D32" s="27"/>
      <c r="E32" s="31"/>
      <c r="F32" s="31"/>
      <c r="G32" s="27"/>
      <c r="H32" s="27"/>
    </row>
    <row r="33" spans="1:8" s="154" customFormat="1" ht="15.75" x14ac:dyDescent="0.25">
      <c r="A33" s="42">
        <v>4</v>
      </c>
      <c r="B33" s="6" t="s">
        <v>188</v>
      </c>
      <c r="C33" s="14">
        <f>SUM(C34:C39)</f>
        <v>1436000</v>
      </c>
      <c r="D33" s="14">
        <f>SUM(D34:D39)</f>
        <v>1436000</v>
      </c>
      <c r="E33" s="14">
        <f>SUM(E34:E39)</f>
        <v>1438808</v>
      </c>
      <c r="F33" s="14">
        <f>SUM(F34:F39)</f>
        <v>1435649</v>
      </c>
      <c r="G33" s="18">
        <f>E33/C33*100</f>
        <v>100.19554317548747</v>
      </c>
      <c r="H33" s="18">
        <f>F33/D33*100</f>
        <v>99.975557103064077</v>
      </c>
    </row>
    <row r="34" spans="1:8" s="154" customFormat="1" ht="15.75" x14ac:dyDescent="0.25">
      <c r="A34" s="6"/>
      <c r="B34" s="30" t="s">
        <v>180</v>
      </c>
      <c r="C34" s="31">
        <v>946000</v>
      </c>
      <c r="D34" s="22">
        <v>946000</v>
      </c>
      <c r="E34" s="27">
        <v>974124</v>
      </c>
      <c r="F34" s="27">
        <f>531105+386392+56627</f>
        <v>974124</v>
      </c>
      <c r="G34" s="35"/>
      <c r="H34" s="35"/>
    </row>
    <row r="35" spans="1:8" s="154" customFormat="1" ht="15.75" x14ac:dyDescent="0.25">
      <c r="A35" s="6"/>
      <c r="B35" s="30" t="s">
        <v>181</v>
      </c>
      <c r="C35" s="31">
        <v>420000</v>
      </c>
      <c r="D35" s="22">
        <v>420000</v>
      </c>
      <c r="E35" s="27">
        <v>368347</v>
      </c>
      <c r="F35" s="27">
        <f>208052+160295</f>
        <v>368347</v>
      </c>
      <c r="G35" s="35"/>
      <c r="H35" s="35"/>
    </row>
    <row r="36" spans="1:8" s="154" customFormat="1" ht="15.75" x14ac:dyDescent="0.25">
      <c r="A36" s="6"/>
      <c r="B36" s="30" t="s">
        <v>182</v>
      </c>
      <c r="C36" s="31">
        <v>15000</v>
      </c>
      <c r="D36" s="22">
        <v>15000</v>
      </c>
      <c r="E36" s="27">
        <v>8434</v>
      </c>
      <c r="F36" s="27">
        <f>3003+2272</f>
        <v>5275</v>
      </c>
      <c r="G36" s="35"/>
      <c r="H36" s="35"/>
    </row>
    <row r="37" spans="1:8" s="154" customFormat="1" ht="15.75" x14ac:dyDescent="0.25">
      <c r="A37" s="6"/>
      <c r="B37" s="30" t="s">
        <v>183</v>
      </c>
      <c r="C37" s="31">
        <v>55000</v>
      </c>
      <c r="D37" s="22">
        <v>55000</v>
      </c>
      <c r="E37" s="27">
        <v>87903</v>
      </c>
      <c r="F37" s="27">
        <f>44611+43206+86</f>
        <v>87903</v>
      </c>
      <c r="G37" s="35"/>
      <c r="H37" s="35"/>
    </row>
    <row r="38" spans="1:8" s="154" customFormat="1" ht="15.75" hidden="1" x14ac:dyDescent="0.25">
      <c r="A38" s="6"/>
      <c r="B38" s="30" t="s">
        <v>184</v>
      </c>
      <c r="C38" s="31"/>
      <c r="D38" s="22"/>
      <c r="E38" s="27"/>
      <c r="F38" s="27"/>
      <c r="G38" s="35"/>
      <c r="H38" s="35"/>
    </row>
    <row r="39" spans="1:8" s="154" customFormat="1" ht="15.75" hidden="1" x14ac:dyDescent="0.25">
      <c r="A39" s="6"/>
      <c r="B39" s="30" t="s">
        <v>189</v>
      </c>
      <c r="C39" s="31"/>
      <c r="D39" s="22"/>
      <c r="E39" s="12"/>
      <c r="F39" s="27"/>
      <c r="G39" s="35"/>
      <c r="H39" s="35"/>
    </row>
    <row r="40" spans="1:8" s="154" customFormat="1" ht="15.75" x14ac:dyDescent="0.25">
      <c r="A40" s="42">
        <v>5</v>
      </c>
      <c r="B40" s="6" t="s">
        <v>45</v>
      </c>
      <c r="C40" s="12">
        <v>660000</v>
      </c>
      <c r="D40" s="12">
        <v>660000</v>
      </c>
      <c r="E40" s="12">
        <v>646258</v>
      </c>
      <c r="F40" s="12">
        <f>476968+68051+101239</f>
        <v>646258</v>
      </c>
      <c r="G40" s="18">
        <f>E40/C40*100</f>
        <v>97.917878787878792</v>
      </c>
      <c r="H40" s="18">
        <f>F40/D40*100</f>
        <v>97.917878787878792</v>
      </c>
    </row>
    <row r="41" spans="1:8" s="154" customFormat="1" ht="15.75" x14ac:dyDescent="0.25">
      <c r="A41" s="42">
        <v>6</v>
      </c>
      <c r="B41" s="6" t="s">
        <v>46</v>
      </c>
      <c r="C41" s="12">
        <f>C42+C43</f>
        <v>610000</v>
      </c>
      <c r="D41" s="12">
        <f>D43</f>
        <v>226920</v>
      </c>
      <c r="E41" s="12">
        <v>522575</v>
      </c>
      <c r="F41" s="12">
        <v>194396</v>
      </c>
      <c r="G41" s="18">
        <f>E41/C41*100</f>
        <v>85.668032786885249</v>
      </c>
      <c r="H41" s="18">
        <f>F41/D41*100</f>
        <v>85.667195487396441</v>
      </c>
    </row>
    <row r="42" spans="1:8" s="154" customFormat="1" ht="15.75" x14ac:dyDescent="0.25">
      <c r="A42" s="42" t="s">
        <v>4</v>
      </c>
      <c r="B42" s="7" t="s">
        <v>526</v>
      </c>
      <c r="C42" s="22">
        <v>383080</v>
      </c>
      <c r="D42" s="12"/>
      <c r="E42" s="22">
        <v>245863</v>
      </c>
      <c r="F42" s="21"/>
      <c r="G42" s="23"/>
      <c r="H42" s="23"/>
    </row>
    <row r="43" spans="1:8" s="154" customFormat="1" ht="15.75" x14ac:dyDescent="0.25">
      <c r="A43" s="42" t="s">
        <v>4</v>
      </c>
      <c r="B43" s="7" t="s">
        <v>190</v>
      </c>
      <c r="C43" s="22">
        <v>226920</v>
      </c>
      <c r="D43" s="12">
        <v>226920</v>
      </c>
      <c r="E43" s="22">
        <v>145636</v>
      </c>
      <c r="F43" s="22">
        <v>145636</v>
      </c>
      <c r="G43" s="23"/>
      <c r="H43" s="23"/>
    </row>
    <row r="44" spans="1:8" s="154" customFormat="1" ht="15.75" x14ac:dyDescent="0.25">
      <c r="A44" s="42">
        <v>7</v>
      </c>
      <c r="B44" s="6" t="s">
        <v>94</v>
      </c>
      <c r="C44" s="12">
        <v>450000</v>
      </c>
      <c r="D44" s="12">
        <v>450000</v>
      </c>
      <c r="E44" s="12">
        <v>304424</v>
      </c>
      <c r="F44" s="12">
        <f>272597+31827</f>
        <v>304424</v>
      </c>
      <c r="G44" s="18">
        <f>E44/C44*100</f>
        <v>67.649777777777771</v>
      </c>
      <c r="H44" s="18">
        <f>F44/D44*100</f>
        <v>67.649777777777771</v>
      </c>
    </row>
    <row r="45" spans="1:8" s="154" customFormat="1" ht="15.75" x14ac:dyDescent="0.25">
      <c r="A45" s="42">
        <v>8</v>
      </c>
      <c r="B45" s="6" t="s">
        <v>140</v>
      </c>
      <c r="C45" s="12">
        <f>SUM(C46:C49)</f>
        <v>170000</v>
      </c>
      <c r="D45" s="12">
        <f>D47+D48+D49</f>
        <v>65000</v>
      </c>
      <c r="E45" s="12">
        <f>SUM(E46:E49)</f>
        <v>281805</v>
      </c>
      <c r="F45" s="12">
        <f>SUM(F46:F49)</f>
        <v>219998</v>
      </c>
      <c r="G45" s="18">
        <f>E45/C45*100</f>
        <v>165.76764705882351</v>
      </c>
      <c r="H45" s="18">
        <f t="shared" ref="H45" si="2">F45/D45*100</f>
        <v>338.45846153846156</v>
      </c>
    </row>
    <row r="46" spans="1:8" s="154" customFormat="1" ht="15.75" x14ac:dyDescent="0.25">
      <c r="A46" s="42" t="s">
        <v>4</v>
      </c>
      <c r="B46" s="7" t="s">
        <v>95</v>
      </c>
      <c r="C46" s="12">
        <v>105000</v>
      </c>
      <c r="D46" s="12"/>
      <c r="E46" s="22">
        <v>62584</v>
      </c>
      <c r="F46" s="12">
        <f>508+269</f>
        <v>777</v>
      </c>
      <c r="G46" s="21"/>
      <c r="H46" s="18"/>
    </row>
    <row r="47" spans="1:8" s="154" customFormat="1" ht="15.75" x14ac:dyDescent="0.25">
      <c r="A47" s="42" t="s">
        <v>4</v>
      </c>
      <c r="B47" s="7" t="s">
        <v>191</v>
      </c>
      <c r="C47" s="12">
        <v>48600</v>
      </c>
      <c r="D47" s="12">
        <f>34400+14200</f>
        <v>48600</v>
      </c>
      <c r="E47" s="22">
        <v>210068</v>
      </c>
      <c r="F47" s="22">
        <f>166117+39990+3961</f>
        <v>210068</v>
      </c>
      <c r="G47" s="21"/>
      <c r="H47" s="21"/>
    </row>
    <row r="48" spans="1:8" s="154" customFormat="1" ht="15.75" x14ac:dyDescent="0.25">
      <c r="A48" s="42" t="s">
        <v>4</v>
      </c>
      <c r="B48" s="7" t="s">
        <v>141</v>
      </c>
      <c r="C48" s="12">
        <v>16400</v>
      </c>
      <c r="D48" s="12">
        <v>16400</v>
      </c>
      <c r="E48" s="22">
        <v>9153</v>
      </c>
      <c r="F48" s="22">
        <f>14+9139</f>
        <v>9153</v>
      </c>
      <c r="G48" s="21"/>
      <c r="H48" s="21"/>
    </row>
    <row r="49" spans="1:8" s="154" customFormat="1" ht="15.75" hidden="1" x14ac:dyDescent="0.25">
      <c r="A49" s="42"/>
      <c r="B49" s="7"/>
      <c r="C49" s="12"/>
      <c r="D49" s="12"/>
      <c r="E49" s="22"/>
      <c r="F49" s="22"/>
      <c r="G49" s="21"/>
      <c r="H49" s="21"/>
    </row>
    <row r="50" spans="1:8" s="154" customFormat="1" ht="15.75" x14ac:dyDescent="0.25">
      <c r="A50" s="42">
        <v>9</v>
      </c>
      <c r="B50" s="6" t="s">
        <v>73</v>
      </c>
      <c r="C50" s="12">
        <v>1000</v>
      </c>
      <c r="D50" s="12">
        <v>1000</v>
      </c>
      <c r="E50" s="12">
        <v>243</v>
      </c>
      <c r="F50" s="12">
        <f>155+88</f>
        <v>243</v>
      </c>
      <c r="G50" s="18">
        <f>E50/C50*100</f>
        <v>24.3</v>
      </c>
      <c r="H50" s="18">
        <f>F50/D50*100</f>
        <v>24.3</v>
      </c>
    </row>
    <row r="51" spans="1:8" s="154" customFormat="1" ht="15.75" x14ac:dyDescent="0.25">
      <c r="A51" s="42">
        <v>10</v>
      </c>
      <c r="B51" s="6" t="s">
        <v>74</v>
      </c>
      <c r="C51" s="12">
        <v>10000</v>
      </c>
      <c r="D51" s="12">
        <v>10000</v>
      </c>
      <c r="E51" s="12">
        <v>22510</v>
      </c>
      <c r="F51" s="12">
        <f>11362+11148</f>
        <v>22510</v>
      </c>
      <c r="G51" s="18">
        <f t="shared" ref="G51:H55" si="3">E51/C51*100</f>
        <v>225.1</v>
      </c>
      <c r="H51" s="18">
        <f t="shared" si="3"/>
        <v>225.1</v>
      </c>
    </row>
    <row r="52" spans="1:8" s="154" customFormat="1" ht="15.75" x14ac:dyDescent="0.25">
      <c r="A52" s="42">
        <v>11</v>
      </c>
      <c r="B52" s="6" t="s">
        <v>75</v>
      </c>
      <c r="C52" s="12">
        <v>240000</v>
      </c>
      <c r="D52" s="12">
        <v>240000</v>
      </c>
      <c r="E52" s="12">
        <v>575960</v>
      </c>
      <c r="F52" s="12">
        <f>291564+284393+3</f>
        <v>575960</v>
      </c>
      <c r="G52" s="18">
        <f t="shared" si="3"/>
        <v>239.98333333333335</v>
      </c>
      <c r="H52" s="18">
        <f t="shared" si="3"/>
        <v>239.98333333333335</v>
      </c>
    </row>
    <row r="53" spans="1:8" s="154" customFormat="1" ht="15.75" x14ac:dyDescent="0.25">
      <c r="A53" s="42">
        <v>12</v>
      </c>
      <c r="B53" s="6" t="s">
        <v>47</v>
      </c>
      <c r="C53" s="12">
        <v>700000</v>
      </c>
      <c r="D53" s="12">
        <v>700000</v>
      </c>
      <c r="E53" s="12">
        <v>1113499</v>
      </c>
      <c r="F53" s="12">
        <f>542111+571388</f>
        <v>1113499</v>
      </c>
      <c r="G53" s="18">
        <f t="shared" si="3"/>
        <v>159.07128571428569</v>
      </c>
      <c r="H53" s="18">
        <f t="shared" si="3"/>
        <v>159.07128571428569</v>
      </c>
    </row>
    <row r="54" spans="1:8" s="154" customFormat="1" ht="17.25" customHeight="1" x14ac:dyDescent="0.25">
      <c r="A54" s="42">
        <v>13</v>
      </c>
      <c r="B54" s="6" t="s">
        <v>142</v>
      </c>
      <c r="C54" s="12">
        <v>2000</v>
      </c>
      <c r="D54" s="12">
        <v>2000</v>
      </c>
      <c r="E54" s="12">
        <v>7555</v>
      </c>
      <c r="F54" s="12">
        <f>7379+176</f>
        <v>7555</v>
      </c>
      <c r="G54" s="18">
        <f t="shared" si="3"/>
        <v>377.75</v>
      </c>
      <c r="H54" s="18">
        <f t="shared" si="3"/>
        <v>377.75</v>
      </c>
    </row>
    <row r="55" spans="1:8" s="154" customFormat="1" ht="15.75" x14ac:dyDescent="0.25">
      <c r="A55" s="26">
        <v>14</v>
      </c>
      <c r="B55" s="6" t="s">
        <v>76</v>
      </c>
      <c r="C55" s="27">
        <v>950000</v>
      </c>
      <c r="D55" s="12">
        <v>950000</v>
      </c>
      <c r="E55" s="12">
        <f>SUM(E56:E59)</f>
        <v>1173922</v>
      </c>
      <c r="F55" s="12">
        <f>SUM(F56:F59)</f>
        <v>1173922</v>
      </c>
      <c r="G55" s="18">
        <f t="shared" si="3"/>
        <v>123.57073684210526</v>
      </c>
      <c r="H55" s="18">
        <f t="shared" si="3"/>
        <v>123.57073684210526</v>
      </c>
    </row>
    <row r="56" spans="1:8" s="154" customFormat="1" ht="15.75" x14ac:dyDescent="0.25">
      <c r="A56" s="26"/>
      <c r="B56" s="30" t="s">
        <v>180</v>
      </c>
      <c r="C56" s="27"/>
      <c r="D56" s="27"/>
      <c r="E56" s="31">
        <v>347164</v>
      </c>
      <c r="F56" s="31">
        <v>347164</v>
      </c>
      <c r="G56" s="18"/>
      <c r="H56" s="18"/>
    </row>
    <row r="57" spans="1:8" s="154" customFormat="1" ht="15.75" x14ac:dyDescent="0.25">
      <c r="A57" s="26"/>
      <c r="B57" s="30" t="s">
        <v>181</v>
      </c>
      <c r="C57" s="27"/>
      <c r="D57" s="27"/>
      <c r="E57" s="31">
        <v>93170</v>
      </c>
      <c r="F57" s="31">
        <v>93170</v>
      </c>
      <c r="G57" s="18"/>
      <c r="H57" s="18"/>
    </row>
    <row r="58" spans="1:8" s="154" customFormat="1" ht="15.75" x14ac:dyDescent="0.25">
      <c r="A58" s="26"/>
      <c r="B58" s="30" t="s">
        <v>192</v>
      </c>
      <c r="C58" s="27"/>
      <c r="D58" s="27"/>
      <c r="E58" s="31">
        <v>268647</v>
      </c>
      <c r="F58" s="31">
        <v>268647</v>
      </c>
      <c r="G58" s="18"/>
      <c r="H58" s="18"/>
    </row>
    <row r="59" spans="1:8" s="154" customFormat="1" ht="15.75" x14ac:dyDescent="0.25">
      <c r="A59" s="6"/>
      <c r="B59" s="30" t="s">
        <v>182</v>
      </c>
      <c r="C59" s="27"/>
      <c r="D59" s="27"/>
      <c r="E59" s="31">
        <v>464941</v>
      </c>
      <c r="F59" s="31">
        <v>464941</v>
      </c>
      <c r="G59" s="18"/>
      <c r="H59" s="18"/>
    </row>
    <row r="60" spans="1:8" s="154" customFormat="1" ht="18.75" customHeight="1" x14ac:dyDescent="0.25">
      <c r="A60" s="42">
        <v>15</v>
      </c>
      <c r="B60" s="6" t="s">
        <v>77</v>
      </c>
      <c r="C60" s="12">
        <v>90000</v>
      </c>
      <c r="D60" s="27">
        <v>67600</v>
      </c>
      <c r="E60" s="12">
        <v>76475</v>
      </c>
      <c r="F60" s="12">
        <f>27216+27216</f>
        <v>54432</v>
      </c>
      <c r="G60" s="18">
        <f>E60/C60*100</f>
        <v>84.972222222222229</v>
      </c>
      <c r="H60" s="18">
        <f>F60/D60*100</f>
        <v>80.520710059171591</v>
      </c>
    </row>
    <row r="61" spans="1:8" s="154" customFormat="1" ht="18" customHeight="1" x14ac:dyDescent="0.25">
      <c r="A61" s="42">
        <v>16</v>
      </c>
      <c r="B61" s="6" t="s">
        <v>78</v>
      </c>
      <c r="C61" s="12">
        <v>220000</v>
      </c>
      <c r="D61" s="27">
        <v>100000</v>
      </c>
      <c r="E61" s="12">
        <v>291620</v>
      </c>
      <c r="F61" s="12">
        <f>107872+70371+41005</f>
        <v>219248</v>
      </c>
      <c r="G61" s="18">
        <f t="shared" ref="G61:H65" si="4">E61/C61*100</f>
        <v>132.55454545454546</v>
      </c>
      <c r="H61" s="18">
        <f t="shared" si="4"/>
        <v>219.24800000000002</v>
      </c>
    </row>
    <row r="62" spans="1:8" s="154" customFormat="1" ht="18" customHeight="1" x14ac:dyDescent="0.25">
      <c r="A62" s="42">
        <v>17</v>
      </c>
      <c r="B62" s="6" t="s">
        <v>79</v>
      </c>
      <c r="C62" s="12">
        <v>6000</v>
      </c>
      <c r="D62" s="27">
        <v>6000</v>
      </c>
      <c r="E62" s="12">
        <v>15956</v>
      </c>
      <c r="F62" s="12">
        <f>4497+4144+7315</f>
        <v>15956</v>
      </c>
      <c r="G62" s="18">
        <f t="shared" si="4"/>
        <v>265.93333333333334</v>
      </c>
      <c r="H62" s="18">
        <f t="shared" si="4"/>
        <v>265.93333333333334</v>
      </c>
    </row>
    <row r="63" spans="1:8" s="154" customFormat="1" ht="15.75" hidden="1" x14ac:dyDescent="0.25">
      <c r="A63" s="42">
        <v>18</v>
      </c>
      <c r="B63" s="6" t="s">
        <v>244</v>
      </c>
      <c r="C63" s="12"/>
      <c r="D63" s="21"/>
      <c r="E63" s="21"/>
      <c r="F63" s="21"/>
      <c r="G63" s="18" t="e">
        <f t="shared" si="4"/>
        <v>#DIV/0!</v>
      </c>
      <c r="H63" s="18" t="e">
        <f t="shared" si="4"/>
        <v>#DIV/0!</v>
      </c>
    </row>
    <row r="64" spans="1:8" s="154" customFormat="1" ht="37.5" hidden="1" customHeight="1" x14ac:dyDescent="0.25">
      <c r="A64" s="42">
        <v>19</v>
      </c>
      <c r="B64" s="6" t="s">
        <v>245</v>
      </c>
      <c r="C64" s="12"/>
      <c r="D64" s="21"/>
      <c r="E64" s="21"/>
      <c r="F64" s="21"/>
      <c r="G64" s="18" t="e">
        <f t="shared" si="4"/>
        <v>#DIV/0!</v>
      </c>
      <c r="H64" s="18" t="e">
        <f t="shared" si="4"/>
        <v>#DIV/0!</v>
      </c>
    </row>
    <row r="65" spans="1:10" s="154" customFormat="1" ht="20.25" customHeight="1" x14ac:dyDescent="0.25">
      <c r="A65" s="42">
        <v>18</v>
      </c>
      <c r="B65" s="6" t="s">
        <v>473</v>
      </c>
      <c r="C65" s="12">
        <v>7000</v>
      </c>
      <c r="D65" s="12">
        <v>7000</v>
      </c>
      <c r="E65" s="12">
        <v>9393</v>
      </c>
      <c r="F65" s="12">
        <v>9393</v>
      </c>
      <c r="G65" s="18">
        <f t="shared" si="4"/>
        <v>134.18571428571428</v>
      </c>
      <c r="H65" s="18">
        <f t="shared" si="4"/>
        <v>134.18571428571428</v>
      </c>
    </row>
    <row r="66" spans="1:10" s="154" customFormat="1" ht="15.75" x14ac:dyDescent="0.25">
      <c r="A66" s="146" t="s">
        <v>7</v>
      </c>
      <c r="B66" s="11" t="s">
        <v>48</v>
      </c>
      <c r="C66" s="13">
        <v>1300000</v>
      </c>
      <c r="D66" s="21"/>
      <c r="E66" s="13">
        <v>1162206</v>
      </c>
      <c r="F66" s="21"/>
      <c r="G66" s="15">
        <f>E66/C66*100</f>
        <v>89.400461538461542</v>
      </c>
      <c r="H66" s="21"/>
    </row>
    <row r="67" spans="1:10" s="154" customFormat="1" ht="15.75" x14ac:dyDescent="0.25">
      <c r="A67" s="146" t="s">
        <v>8</v>
      </c>
      <c r="B67" s="11" t="s">
        <v>143</v>
      </c>
      <c r="C67" s="13">
        <v>1800000</v>
      </c>
      <c r="D67" s="21"/>
      <c r="E67" s="13">
        <v>1165976</v>
      </c>
      <c r="F67" s="21"/>
      <c r="G67" s="15">
        <f>E67/C67*100</f>
        <v>64.776444444444451</v>
      </c>
      <c r="H67" s="21"/>
    </row>
    <row r="68" spans="1:10" s="154" customFormat="1" ht="15.75" x14ac:dyDescent="0.25">
      <c r="A68" s="42">
        <v>1</v>
      </c>
      <c r="B68" s="6" t="s">
        <v>96</v>
      </c>
      <c r="C68" s="12"/>
      <c r="D68" s="21"/>
      <c r="E68" s="12">
        <v>39111</v>
      </c>
      <c r="F68" s="21"/>
      <c r="G68" s="21"/>
      <c r="H68" s="21"/>
    </row>
    <row r="69" spans="1:10" s="154" customFormat="1" ht="15.75" x14ac:dyDescent="0.25">
      <c r="A69" s="42">
        <v>2</v>
      </c>
      <c r="B69" s="6" t="s">
        <v>80</v>
      </c>
      <c r="C69" s="12">
        <v>8000</v>
      </c>
      <c r="D69" s="21"/>
      <c r="E69" s="22">
        <v>41985</v>
      </c>
      <c r="F69" s="21"/>
      <c r="G69" s="21"/>
      <c r="H69" s="21"/>
    </row>
    <row r="70" spans="1:10" s="154" customFormat="1" ht="15.75" x14ac:dyDescent="0.25">
      <c r="A70" s="42">
        <v>3</v>
      </c>
      <c r="B70" s="6" t="s">
        <v>144</v>
      </c>
      <c r="C70" s="12">
        <v>27000</v>
      </c>
      <c r="D70" s="21"/>
      <c r="E70" s="22">
        <v>14</v>
      </c>
      <c r="F70" s="21"/>
      <c r="G70" s="21"/>
      <c r="H70" s="21"/>
    </row>
    <row r="71" spans="1:10" s="154" customFormat="1" ht="15.75" x14ac:dyDescent="0.25">
      <c r="A71" s="42">
        <v>4</v>
      </c>
      <c r="B71" s="6" t="s">
        <v>145</v>
      </c>
      <c r="C71" s="12"/>
      <c r="D71" s="21"/>
      <c r="E71" s="22"/>
      <c r="F71" s="21"/>
      <c r="G71" s="21"/>
      <c r="H71" s="21"/>
    </row>
    <row r="72" spans="1:10" s="154" customFormat="1" ht="15.75" x14ac:dyDescent="0.25">
      <c r="A72" s="42">
        <v>5</v>
      </c>
      <c r="B72" s="6" t="s">
        <v>146</v>
      </c>
      <c r="C72" s="12">
        <v>1708000</v>
      </c>
      <c r="D72" s="21"/>
      <c r="E72" s="22">
        <v>974073</v>
      </c>
      <c r="F72" s="21"/>
      <c r="G72" s="21"/>
      <c r="H72" s="21"/>
      <c r="J72" s="155"/>
    </row>
    <row r="73" spans="1:10" s="154" customFormat="1" ht="18" customHeight="1" x14ac:dyDescent="0.25">
      <c r="A73" s="42">
        <v>6</v>
      </c>
      <c r="B73" s="6" t="s">
        <v>193</v>
      </c>
      <c r="C73" s="12">
        <v>57000</v>
      </c>
      <c r="D73" s="21"/>
      <c r="E73" s="22">
        <v>110743</v>
      </c>
      <c r="F73" s="21"/>
      <c r="G73" s="21"/>
      <c r="H73" s="21"/>
    </row>
    <row r="74" spans="1:10" s="154" customFormat="1" ht="15.75" x14ac:dyDescent="0.25">
      <c r="A74" s="42">
        <v>7</v>
      </c>
      <c r="B74" s="6" t="s">
        <v>472</v>
      </c>
      <c r="C74" s="12"/>
      <c r="D74" s="21"/>
      <c r="E74" s="22">
        <v>50</v>
      </c>
      <c r="F74" s="21"/>
      <c r="G74" s="21"/>
      <c r="H74" s="21"/>
    </row>
    <row r="75" spans="1:10" s="154" customFormat="1" ht="15.75" x14ac:dyDescent="0.25">
      <c r="A75" s="146" t="s">
        <v>9</v>
      </c>
      <c r="B75" s="11" t="s">
        <v>81</v>
      </c>
      <c r="C75" s="12"/>
      <c r="D75" s="21"/>
      <c r="E75" s="13">
        <v>760</v>
      </c>
      <c r="F75" s="13">
        <v>760</v>
      </c>
      <c r="G75" s="21"/>
      <c r="H75" s="21"/>
    </row>
    <row r="76" spans="1:10" s="154" customFormat="1" ht="31.5" x14ac:dyDescent="0.25">
      <c r="A76" s="146" t="s">
        <v>23</v>
      </c>
      <c r="B76" s="11" t="s">
        <v>527</v>
      </c>
      <c r="C76" s="12"/>
      <c r="D76" s="21"/>
      <c r="E76" s="13">
        <v>36968</v>
      </c>
      <c r="F76" s="13">
        <v>36968</v>
      </c>
      <c r="G76" s="21"/>
      <c r="H76" s="21"/>
    </row>
    <row r="77" spans="1:10" s="154" customFormat="1" ht="15.75" x14ac:dyDescent="0.25">
      <c r="A77" s="146" t="s">
        <v>3</v>
      </c>
      <c r="B77" s="11" t="s">
        <v>194</v>
      </c>
      <c r="C77" s="12"/>
      <c r="D77" s="13"/>
      <c r="E77" s="13">
        <v>19334</v>
      </c>
      <c r="F77" s="13">
        <v>19334</v>
      </c>
      <c r="G77" s="21"/>
      <c r="H77" s="21"/>
    </row>
    <row r="78" spans="1:10" s="154" customFormat="1" ht="15.75" x14ac:dyDescent="0.25">
      <c r="A78" s="146" t="s">
        <v>462</v>
      </c>
      <c r="B78" s="11" t="s">
        <v>463</v>
      </c>
      <c r="C78" s="12"/>
      <c r="D78" s="13">
        <v>3358954</v>
      </c>
      <c r="E78" s="13">
        <v>7797881</v>
      </c>
      <c r="F78" s="13">
        <v>7797881</v>
      </c>
      <c r="G78" s="21"/>
      <c r="H78" s="21"/>
    </row>
    <row r="79" spans="1:10" s="154" customFormat="1" ht="15.75" x14ac:dyDescent="0.25">
      <c r="A79" s="146" t="s">
        <v>13</v>
      </c>
      <c r="B79" s="11" t="s">
        <v>465</v>
      </c>
      <c r="C79" s="12"/>
      <c r="D79" s="13"/>
      <c r="E79" s="13">
        <v>227486</v>
      </c>
      <c r="F79" s="13">
        <f>22932+6547</f>
        <v>29479</v>
      </c>
      <c r="G79" s="21"/>
      <c r="H79" s="21"/>
    </row>
    <row r="80" spans="1:10" s="154" customFormat="1" ht="15.75" x14ac:dyDescent="0.25">
      <c r="A80" s="146" t="s">
        <v>18</v>
      </c>
      <c r="B80" s="11" t="s">
        <v>147</v>
      </c>
      <c r="C80" s="12"/>
      <c r="D80" s="21"/>
      <c r="E80" s="13">
        <v>1195883</v>
      </c>
      <c r="F80" s="13">
        <f>230280+752709+212894</f>
        <v>1195883</v>
      </c>
      <c r="G80" s="21"/>
      <c r="H80" s="21"/>
    </row>
    <row r="81" spans="1:8" s="154" customFormat="1" ht="15.75" x14ac:dyDescent="0.25">
      <c r="A81" s="146" t="s">
        <v>464</v>
      </c>
      <c r="B81" s="52" t="s">
        <v>148</v>
      </c>
      <c r="C81" s="12"/>
      <c r="D81" s="21"/>
      <c r="E81" s="13">
        <v>6627929</v>
      </c>
      <c r="F81" s="13">
        <f>5102802+1431709+93418</f>
        <v>6627929</v>
      </c>
      <c r="G81" s="21"/>
      <c r="H81" s="21"/>
    </row>
    <row r="82" spans="1:8" s="154" customFormat="1" ht="21" customHeight="1" x14ac:dyDescent="0.25">
      <c r="A82" s="3"/>
    </row>
    <row r="83" spans="1:8" s="154" customFormat="1" ht="36.75" customHeight="1" x14ac:dyDescent="0.25">
      <c r="A83" s="232"/>
      <c r="B83" s="232"/>
      <c r="C83" s="232"/>
      <c r="D83" s="232"/>
      <c r="E83" s="232"/>
      <c r="F83" s="232"/>
      <c r="G83" s="232"/>
      <c r="H83" s="232"/>
    </row>
    <row r="84" spans="1:8" s="154" customFormat="1" ht="36.75" customHeight="1" x14ac:dyDescent="0.25">
      <c r="A84" s="232"/>
      <c r="B84" s="232"/>
      <c r="C84" s="232"/>
      <c r="D84" s="232"/>
      <c r="E84" s="232"/>
      <c r="F84" s="232"/>
      <c r="G84" s="232"/>
      <c r="H84" s="232"/>
    </row>
    <row r="85" spans="1:8" s="154" customFormat="1" ht="49.5" customHeight="1" x14ac:dyDescent="0.25">
      <c r="A85" s="232"/>
      <c r="B85" s="232"/>
      <c r="C85" s="232"/>
      <c r="D85" s="232"/>
      <c r="E85" s="232"/>
      <c r="F85" s="232"/>
      <c r="G85" s="232"/>
      <c r="H85" s="232"/>
    </row>
    <row r="86" spans="1:8" s="154" customFormat="1" ht="49.5" customHeight="1" x14ac:dyDescent="0.25">
      <c r="A86" s="232"/>
      <c r="B86" s="232"/>
      <c r="C86" s="232"/>
      <c r="D86" s="232"/>
      <c r="E86" s="232"/>
      <c r="F86" s="232"/>
      <c r="G86" s="232"/>
      <c r="H86" s="232"/>
    </row>
    <row r="87" spans="1:8" ht="69.75" customHeight="1" x14ac:dyDescent="0.25">
      <c r="A87" s="232"/>
      <c r="B87" s="232"/>
      <c r="C87" s="232"/>
      <c r="D87" s="232"/>
      <c r="E87" s="232"/>
      <c r="F87" s="232"/>
      <c r="G87" s="232"/>
      <c r="H87" s="232"/>
    </row>
  </sheetData>
  <mergeCells count="12">
    <mergeCell ref="A3:H3"/>
    <mergeCell ref="A4:H4"/>
    <mergeCell ref="A7:A8"/>
    <mergeCell ref="B7:B8"/>
    <mergeCell ref="C7:D7"/>
    <mergeCell ref="E7:F7"/>
    <mergeCell ref="G7:H7"/>
    <mergeCell ref="A85:H85"/>
    <mergeCell ref="A86:H86"/>
    <mergeCell ref="A87:H87"/>
    <mergeCell ref="A83:H83"/>
    <mergeCell ref="A84:H84"/>
  </mergeCells>
  <pageMargins left="0.7" right="0.6" top="1.2" bottom="0.6" header="0.59" footer="0.2"/>
  <pageSetup paperSize="9" orientation="landscape" r:id="rId1"/>
  <headerFooter>
    <oddHeader>&amp;RBiễu số 03</oddHeader>
    <oddFooter>&amp;C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77"/>
  <sheetViews>
    <sheetView workbookViewId="0">
      <selection activeCell="A4" sqref="A4:E4"/>
    </sheetView>
  </sheetViews>
  <sheetFormatPr defaultRowHeight="15" x14ac:dyDescent="0.25"/>
  <cols>
    <col min="1" max="1" width="4.42578125" style="179" customWidth="1"/>
    <col min="2" max="2" width="51.140625" style="179" customWidth="1"/>
    <col min="3" max="4" width="11.5703125" style="179" customWidth="1"/>
    <col min="5" max="5" width="9.42578125" style="179" customWidth="1"/>
    <col min="6" max="6" width="9.140625" style="179"/>
    <col min="7" max="7" width="10.140625" style="179" bestFit="1" customWidth="1"/>
    <col min="8" max="16384" width="9.140625" style="179"/>
  </cols>
  <sheetData>
    <row r="1" spans="1:5" ht="15.75" x14ac:dyDescent="0.25">
      <c r="E1" s="209"/>
    </row>
    <row r="2" spans="1:5" ht="15.75" x14ac:dyDescent="0.25">
      <c r="E2" s="209"/>
    </row>
    <row r="3" spans="1:5" ht="17.25" customHeight="1" x14ac:dyDescent="0.25">
      <c r="A3" s="236" t="s">
        <v>508</v>
      </c>
      <c r="B3" s="236"/>
      <c r="C3" s="236"/>
      <c r="D3" s="236"/>
      <c r="E3" s="236"/>
    </row>
    <row r="4" spans="1:5" ht="31.5" customHeight="1" x14ac:dyDescent="0.25">
      <c r="A4" s="237" t="s">
        <v>580</v>
      </c>
      <c r="B4" s="238"/>
      <c r="C4" s="238"/>
      <c r="D4" s="238"/>
      <c r="E4" s="238"/>
    </row>
    <row r="5" spans="1:5" ht="17.25" customHeight="1" x14ac:dyDescent="0.25">
      <c r="A5" s="145"/>
      <c r="B5" s="145"/>
      <c r="C5" s="145"/>
      <c r="D5" s="145"/>
      <c r="E5" s="145"/>
    </row>
    <row r="6" spans="1:5" ht="15.75" x14ac:dyDescent="0.25">
      <c r="E6" s="210" t="s">
        <v>556</v>
      </c>
    </row>
    <row r="7" spans="1:5" ht="49.5" customHeight="1" x14ac:dyDescent="0.25">
      <c r="A7" s="211" t="s">
        <v>557</v>
      </c>
      <c r="B7" s="211" t="s">
        <v>453</v>
      </c>
      <c r="C7" s="211" t="s">
        <v>124</v>
      </c>
      <c r="D7" s="211" t="s">
        <v>132</v>
      </c>
      <c r="E7" s="211" t="s">
        <v>68</v>
      </c>
    </row>
    <row r="8" spans="1:5" ht="17.25" customHeight="1" x14ac:dyDescent="0.25">
      <c r="A8" s="211" t="s">
        <v>2</v>
      </c>
      <c r="B8" s="211" t="s">
        <v>3</v>
      </c>
      <c r="C8" s="211">
        <v>1</v>
      </c>
      <c r="D8" s="211">
        <v>2</v>
      </c>
      <c r="E8" s="211" t="s">
        <v>44</v>
      </c>
    </row>
    <row r="9" spans="1:5" ht="18" customHeight="1" x14ac:dyDescent="0.25">
      <c r="A9" s="211"/>
      <c r="B9" s="212" t="s">
        <v>149</v>
      </c>
      <c r="C9" s="213">
        <f>C10+C29+C76</f>
        <v>10378474</v>
      </c>
      <c r="D9" s="213">
        <f>D10+D29+D74+D75</f>
        <v>17679181</v>
      </c>
      <c r="E9" s="214">
        <f>D9/C9*100</f>
        <v>170.34470578237224</v>
      </c>
    </row>
    <row r="10" spans="1:5" ht="18" customHeight="1" x14ac:dyDescent="0.25">
      <c r="A10" s="211" t="s">
        <v>2</v>
      </c>
      <c r="B10" s="212" t="s">
        <v>150</v>
      </c>
      <c r="C10" s="213">
        <f>C11+C20+C25+C26+C27+C28</f>
        <v>9025015</v>
      </c>
      <c r="D10" s="213">
        <f>D11+D20+D25+D26</f>
        <v>9107387</v>
      </c>
      <c r="E10" s="214">
        <f>D10/C10*100</f>
        <v>100.91270762430867</v>
      </c>
    </row>
    <row r="11" spans="1:5" ht="16.5" customHeight="1" x14ac:dyDescent="0.25">
      <c r="A11" s="211" t="s">
        <v>11</v>
      </c>
      <c r="B11" s="212" t="s">
        <v>66</v>
      </c>
      <c r="C11" s="215">
        <v>2194768</v>
      </c>
      <c r="D11" s="213">
        <f>2683554+29000</f>
        <v>2712554</v>
      </c>
      <c r="E11" s="214">
        <f>D11/C11*100</f>
        <v>123.59183294088487</v>
      </c>
    </row>
    <row r="12" spans="1:5" ht="15.75" hidden="1" x14ac:dyDescent="0.25">
      <c r="A12" s="177">
        <v>1</v>
      </c>
      <c r="B12" s="89" t="s">
        <v>151</v>
      </c>
      <c r="C12" s="216"/>
      <c r="D12" s="216"/>
      <c r="E12" s="216"/>
    </row>
    <row r="13" spans="1:5" ht="15.75" hidden="1" x14ac:dyDescent="0.25">
      <c r="A13" s="177"/>
      <c r="B13" s="217" t="s">
        <v>85</v>
      </c>
      <c r="C13" s="216"/>
      <c r="D13" s="216"/>
      <c r="E13" s="216"/>
    </row>
    <row r="14" spans="1:5" ht="15.75" hidden="1" x14ac:dyDescent="0.25">
      <c r="A14" s="177" t="s">
        <v>4</v>
      </c>
      <c r="B14" s="217" t="s">
        <v>86</v>
      </c>
      <c r="C14" s="216"/>
      <c r="D14" s="218">
        <v>320951</v>
      </c>
      <c r="E14" s="216"/>
    </row>
    <row r="15" spans="1:5" ht="15.75" hidden="1" x14ac:dyDescent="0.25">
      <c r="A15" s="177" t="s">
        <v>4</v>
      </c>
      <c r="B15" s="217" t="s">
        <v>122</v>
      </c>
      <c r="C15" s="216"/>
      <c r="D15" s="218">
        <v>6779</v>
      </c>
      <c r="E15" s="216"/>
    </row>
    <row r="16" spans="1:5" ht="15.75" hidden="1" x14ac:dyDescent="0.25">
      <c r="A16" s="177"/>
      <c r="B16" s="217" t="s">
        <v>88</v>
      </c>
      <c r="C16" s="216"/>
      <c r="D16" s="216"/>
      <c r="E16" s="216"/>
    </row>
    <row r="17" spans="1:10" ht="15.75" hidden="1" x14ac:dyDescent="0.25">
      <c r="A17" s="177" t="s">
        <v>4</v>
      </c>
      <c r="B17" s="217" t="s">
        <v>89</v>
      </c>
      <c r="C17" s="218">
        <v>210828</v>
      </c>
      <c r="D17" s="216"/>
      <c r="E17" s="216"/>
    </row>
    <row r="18" spans="1:10" ht="19.5" hidden="1" customHeight="1" x14ac:dyDescent="0.25">
      <c r="A18" s="177" t="s">
        <v>4</v>
      </c>
      <c r="B18" s="217" t="s">
        <v>105</v>
      </c>
      <c r="C18" s="218">
        <v>655000</v>
      </c>
      <c r="D18" s="216"/>
      <c r="E18" s="216"/>
    </row>
    <row r="19" spans="1:10" ht="63" hidden="1" x14ac:dyDescent="0.25">
      <c r="A19" s="177">
        <v>2</v>
      </c>
      <c r="B19" s="89" t="s">
        <v>90</v>
      </c>
      <c r="C19" s="216"/>
      <c r="D19" s="216"/>
      <c r="E19" s="216"/>
    </row>
    <row r="20" spans="1:10" ht="19.5" customHeight="1" x14ac:dyDescent="0.25">
      <c r="A20" s="211" t="s">
        <v>7</v>
      </c>
      <c r="B20" s="212" t="s">
        <v>15</v>
      </c>
      <c r="C20" s="213">
        <v>6533230</v>
      </c>
      <c r="D20" s="213">
        <v>6393100</v>
      </c>
      <c r="E20" s="214">
        <f>D20/C20*100</f>
        <v>97.855119137088394</v>
      </c>
    </row>
    <row r="21" spans="1:10" ht="15.75" x14ac:dyDescent="0.25">
      <c r="A21" s="177"/>
      <c r="B21" s="217" t="s">
        <v>26</v>
      </c>
      <c r="C21" s="216"/>
      <c r="D21" s="216"/>
      <c r="E21" s="216"/>
    </row>
    <row r="22" spans="1:10" ht="15.75" x14ac:dyDescent="0.25">
      <c r="A22" s="177">
        <v>1</v>
      </c>
      <c r="B22" s="217" t="s">
        <v>86</v>
      </c>
      <c r="C22" s="218">
        <v>2938412</v>
      </c>
      <c r="D22" s="218">
        <v>2691332</v>
      </c>
      <c r="E22" s="219">
        <f>D22/C22*100</f>
        <v>91.591376566662547</v>
      </c>
      <c r="J22" s="179" t="s">
        <v>273</v>
      </c>
    </row>
    <row r="23" spans="1:10" ht="15.75" x14ac:dyDescent="0.25">
      <c r="A23" s="177">
        <v>2</v>
      </c>
      <c r="B23" s="217" t="s">
        <v>87</v>
      </c>
      <c r="C23" s="218">
        <v>22173</v>
      </c>
      <c r="D23" s="218">
        <v>10067</v>
      </c>
      <c r="E23" s="219">
        <f>D23/C23*100</f>
        <v>45.402065575249182</v>
      </c>
    </row>
    <row r="24" spans="1:10" ht="15.75" x14ac:dyDescent="0.25">
      <c r="A24" s="177">
        <v>3</v>
      </c>
      <c r="B24" s="217" t="s">
        <v>113</v>
      </c>
      <c r="C24" s="218">
        <v>252469</v>
      </c>
      <c r="D24" s="218">
        <v>113346</v>
      </c>
      <c r="E24" s="219">
        <f>D24/C24*100</f>
        <v>44.895016813945475</v>
      </c>
    </row>
    <row r="25" spans="1:10" ht="31.5" x14ac:dyDescent="0.25">
      <c r="A25" s="211" t="s">
        <v>8</v>
      </c>
      <c r="B25" s="212" t="s">
        <v>16</v>
      </c>
      <c r="C25" s="220">
        <v>2600</v>
      </c>
      <c r="D25" s="213">
        <v>733</v>
      </c>
      <c r="E25" s="221">
        <f>D25/C25*100</f>
        <v>28.192307692307693</v>
      </c>
    </row>
    <row r="26" spans="1:10" ht="15.75" x14ac:dyDescent="0.25">
      <c r="A26" s="211" t="s">
        <v>9</v>
      </c>
      <c r="B26" s="212" t="s">
        <v>37</v>
      </c>
      <c r="C26" s="213">
        <v>1000</v>
      </c>
      <c r="D26" s="220">
        <v>1000</v>
      </c>
      <c r="E26" s="221">
        <f>D26/C26*100</f>
        <v>100</v>
      </c>
    </row>
    <row r="27" spans="1:10" ht="15.75" x14ac:dyDescent="0.25">
      <c r="A27" s="211" t="s">
        <v>23</v>
      </c>
      <c r="B27" s="212" t="s">
        <v>38</v>
      </c>
      <c r="C27" s="213">
        <v>185080</v>
      </c>
      <c r="D27" s="216"/>
      <c r="E27" s="216"/>
    </row>
    <row r="28" spans="1:10" ht="15.75" x14ac:dyDescent="0.25">
      <c r="A28" s="211" t="s">
        <v>92</v>
      </c>
      <c r="B28" s="212" t="s">
        <v>17</v>
      </c>
      <c r="C28" s="220">
        <v>108337</v>
      </c>
      <c r="D28" s="216"/>
      <c r="E28" s="216"/>
    </row>
    <row r="29" spans="1:10" ht="15.75" x14ac:dyDescent="0.25">
      <c r="A29" s="211" t="s">
        <v>3</v>
      </c>
      <c r="B29" s="212" t="s">
        <v>93</v>
      </c>
      <c r="C29" s="213">
        <f>C30+C36</f>
        <v>1345859</v>
      </c>
      <c r="D29" s="213">
        <f>D30+D36</f>
        <v>1447384</v>
      </c>
      <c r="E29" s="214">
        <f>D29/C29*100</f>
        <v>107.54350938694172</v>
      </c>
    </row>
    <row r="30" spans="1:10" ht="15.75" x14ac:dyDescent="0.25">
      <c r="A30" s="211" t="s">
        <v>11</v>
      </c>
      <c r="B30" s="212" t="s">
        <v>40</v>
      </c>
      <c r="C30" s="213">
        <f>C31+C32</f>
        <v>248129</v>
      </c>
      <c r="D30" s="213">
        <f>D31+D32</f>
        <v>232332</v>
      </c>
      <c r="E30" s="214">
        <f>D30/C30*100</f>
        <v>93.633553514502537</v>
      </c>
    </row>
    <row r="31" spans="1:10" ht="18" customHeight="1" x14ac:dyDescent="0.25">
      <c r="A31" s="160">
        <v>1</v>
      </c>
      <c r="B31" s="41" t="s">
        <v>279</v>
      </c>
      <c r="C31" s="218">
        <v>28159</v>
      </c>
      <c r="D31" s="218">
        <v>27332</v>
      </c>
      <c r="E31" s="219">
        <f>D31/C31*100</f>
        <v>97.063105934159594</v>
      </c>
      <c r="F31" s="222"/>
    </row>
    <row r="32" spans="1:10" ht="15.75" x14ac:dyDescent="0.25">
      <c r="A32" s="160">
        <v>2</v>
      </c>
      <c r="B32" s="41" t="s">
        <v>280</v>
      </c>
      <c r="C32" s="218">
        <v>219970</v>
      </c>
      <c r="D32" s="218">
        <v>205000</v>
      </c>
      <c r="E32" s="219">
        <f>D32/C32*100</f>
        <v>93.194526526344504</v>
      </c>
    </row>
    <row r="33" spans="1:7" ht="17.25" hidden="1" customHeight="1" x14ac:dyDescent="0.25">
      <c r="A33" s="160">
        <v>3</v>
      </c>
      <c r="B33" s="41" t="s">
        <v>266</v>
      </c>
      <c r="C33" s="218"/>
      <c r="D33" s="218">
        <v>360</v>
      </c>
      <c r="E33" s="216"/>
    </row>
    <row r="34" spans="1:7" ht="18" hidden="1" customHeight="1" x14ac:dyDescent="0.25">
      <c r="A34" s="160">
        <v>4</v>
      </c>
      <c r="B34" s="41" t="s">
        <v>474</v>
      </c>
      <c r="C34" s="218"/>
      <c r="D34" s="218">
        <v>73</v>
      </c>
      <c r="E34" s="216"/>
    </row>
    <row r="35" spans="1:7" ht="31.5" hidden="1" x14ac:dyDescent="0.25">
      <c r="A35" s="160">
        <v>5</v>
      </c>
      <c r="B35" s="41" t="s">
        <v>281</v>
      </c>
      <c r="C35" s="218"/>
      <c r="D35" s="218">
        <v>90</v>
      </c>
      <c r="E35" s="216"/>
    </row>
    <row r="36" spans="1:7" ht="18.75" customHeight="1" x14ac:dyDescent="0.25">
      <c r="A36" s="211" t="s">
        <v>7</v>
      </c>
      <c r="B36" s="212" t="s">
        <v>123</v>
      </c>
      <c r="C36" s="213">
        <f>1345859-248129</f>
        <v>1097730</v>
      </c>
      <c r="D36" s="213">
        <f>SUM(D37:D73)</f>
        <v>1215052</v>
      </c>
      <c r="E36" s="214">
        <f>D36/C36*100</f>
        <v>110.68769187322931</v>
      </c>
      <c r="G36" s="223"/>
    </row>
    <row r="37" spans="1:7" ht="18.75" customHeight="1" x14ac:dyDescent="0.25">
      <c r="A37" s="160">
        <v>1</v>
      </c>
      <c r="B37" s="161" t="s">
        <v>475</v>
      </c>
      <c r="C37" s="213"/>
      <c r="D37" s="162">
        <v>94606</v>
      </c>
      <c r="E37" s="214"/>
      <c r="G37" s="223"/>
    </row>
    <row r="38" spans="1:7" ht="18.75" customHeight="1" x14ac:dyDescent="0.25">
      <c r="A38" s="160">
        <v>2</v>
      </c>
      <c r="B38" s="161" t="s">
        <v>476</v>
      </c>
      <c r="C38" s="213"/>
      <c r="D38" s="162">
        <v>35725</v>
      </c>
      <c r="E38" s="214"/>
      <c r="G38" s="223"/>
    </row>
    <row r="39" spans="1:7" ht="35.25" customHeight="1" x14ac:dyDescent="0.25">
      <c r="A39" s="160">
        <v>3</v>
      </c>
      <c r="B39" s="224" t="s">
        <v>267</v>
      </c>
      <c r="C39" s="213"/>
      <c r="D39" s="162">
        <v>10700</v>
      </c>
      <c r="E39" s="214"/>
      <c r="G39" s="223"/>
    </row>
    <row r="40" spans="1:7" ht="32.25" customHeight="1" x14ac:dyDescent="0.25">
      <c r="A40" s="160">
        <v>4</v>
      </c>
      <c r="B40" s="224" t="s">
        <v>511</v>
      </c>
      <c r="C40" s="213"/>
      <c r="D40" s="162">
        <v>12516</v>
      </c>
      <c r="E40" s="214"/>
      <c r="G40" s="223"/>
    </row>
    <row r="41" spans="1:7" ht="25.5" customHeight="1" x14ac:dyDescent="0.25">
      <c r="A41" s="160">
        <v>5</v>
      </c>
      <c r="B41" s="224" t="s">
        <v>270</v>
      </c>
      <c r="C41" s="213"/>
      <c r="D41" s="162">
        <v>101752</v>
      </c>
      <c r="E41" s="214"/>
      <c r="G41" s="223"/>
    </row>
    <row r="42" spans="1:7" ht="48.75" customHeight="1" x14ac:dyDescent="0.25">
      <c r="A42" s="160">
        <v>6</v>
      </c>
      <c r="B42" s="161" t="s">
        <v>509</v>
      </c>
      <c r="C42" s="213"/>
      <c r="D42" s="162">
        <v>184689</v>
      </c>
      <c r="E42" s="214"/>
      <c r="G42" s="223"/>
    </row>
    <row r="43" spans="1:7" ht="23.25" customHeight="1" x14ac:dyDescent="0.25">
      <c r="A43" s="160">
        <v>7</v>
      </c>
      <c r="B43" s="161" t="s">
        <v>510</v>
      </c>
      <c r="C43" s="213"/>
      <c r="D43" s="162">
        <v>9260</v>
      </c>
      <c r="E43" s="214"/>
      <c r="G43" s="223"/>
    </row>
    <row r="44" spans="1:7" ht="18" customHeight="1" x14ac:dyDescent="0.25">
      <c r="A44" s="160">
        <v>8</v>
      </c>
      <c r="B44" s="161" t="s">
        <v>269</v>
      </c>
      <c r="C44" s="213"/>
      <c r="D44" s="162">
        <v>117317</v>
      </c>
      <c r="E44" s="214"/>
      <c r="G44" s="223"/>
    </row>
    <row r="45" spans="1:7" ht="30" customHeight="1" x14ac:dyDescent="0.25">
      <c r="A45" s="160">
        <v>9</v>
      </c>
      <c r="B45" s="161" t="s">
        <v>512</v>
      </c>
      <c r="C45" s="213"/>
      <c r="D45" s="162">
        <v>5678</v>
      </c>
      <c r="E45" s="214"/>
      <c r="G45" s="223"/>
    </row>
    <row r="46" spans="1:7" ht="39" customHeight="1" x14ac:dyDescent="0.25">
      <c r="A46" s="160">
        <v>10</v>
      </c>
      <c r="B46" s="161" t="s">
        <v>513</v>
      </c>
      <c r="C46" s="213"/>
      <c r="D46" s="162">
        <v>4696</v>
      </c>
      <c r="E46" s="214"/>
      <c r="G46" s="223"/>
    </row>
    <row r="47" spans="1:7" ht="66" customHeight="1" x14ac:dyDescent="0.25">
      <c r="A47" s="160">
        <v>11</v>
      </c>
      <c r="B47" s="161" t="s">
        <v>572</v>
      </c>
      <c r="C47" s="213"/>
      <c r="D47" s="162">
        <v>1225</v>
      </c>
      <c r="E47" s="214"/>
      <c r="G47" s="223"/>
    </row>
    <row r="48" spans="1:7" ht="27.75" customHeight="1" x14ac:dyDescent="0.25">
      <c r="A48" s="160">
        <v>12</v>
      </c>
      <c r="B48" s="161" t="s">
        <v>573</v>
      </c>
      <c r="C48" s="213"/>
      <c r="D48" s="162">
        <v>1844</v>
      </c>
      <c r="E48" s="214"/>
      <c r="G48" s="223"/>
    </row>
    <row r="49" spans="1:7" ht="27.75" customHeight="1" x14ac:dyDescent="0.25">
      <c r="A49" s="160">
        <v>13</v>
      </c>
      <c r="B49" s="161" t="s">
        <v>514</v>
      </c>
      <c r="C49" s="213"/>
      <c r="D49" s="162">
        <v>171461</v>
      </c>
      <c r="E49" s="214"/>
      <c r="G49" s="223"/>
    </row>
    <row r="50" spans="1:7" ht="27.75" customHeight="1" x14ac:dyDescent="0.25">
      <c r="A50" s="160">
        <v>14</v>
      </c>
      <c r="B50" s="161" t="s">
        <v>271</v>
      </c>
      <c r="C50" s="213"/>
      <c r="D50" s="162">
        <v>1444</v>
      </c>
      <c r="E50" s="214"/>
      <c r="G50" s="223"/>
    </row>
    <row r="51" spans="1:7" ht="18.75" customHeight="1" x14ac:dyDescent="0.25">
      <c r="A51" s="160">
        <v>15</v>
      </c>
      <c r="B51" s="161" t="s">
        <v>515</v>
      </c>
      <c r="C51" s="213"/>
      <c r="D51" s="162">
        <v>16</v>
      </c>
      <c r="E51" s="214"/>
      <c r="G51" s="223"/>
    </row>
    <row r="52" spans="1:7" ht="33.75" customHeight="1" x14ac:dyDescent="0.25">
      <c r="A52" s="160">
        <v>16</v>
      </c>
      <c r="B52" s="161" t="s">
        <v>574</v>
      </c>
      <c r="C52" s="213"/>
      <c r="D52" s="162">
        <v>30</v>
      </c>
      <c r="E52" s="214"/>
      <c r="G52" s="223"/>
    </row>
    <row r="53" spans="1:7" ht="18.75" customHeight="1" x14ac:dyDescent="0.25">
      <c r="A53" s="160">
        <v>17</v>
      </c>
      <c r="B53" s="161" t="s">
        <v>477</v>
      </c>
      <c r="C53" s="213"/>
      <c r="D53" s="162">
        <v>416</v>
      </c>
      <c r="E53" s="214"/>
      <c r="G53" s="223"/>
    </row>
    <row r="54" spans="1:7" ht="18.75" customHeight="1" x14ac:dyDescent="0.25">
      <c r="A54" s="160">
        <v>18</v>
      </c>
      <c r="B54" s="225" t="s">
        <v>478</v>
      </c>
      <c r="C54" s="213"/>
      <c r="D54" s="162">
        <v>98</v>
      </c>
      <c r="E54" s="214"/>
      <c r="G54" s="223"/>
    </row>
    <row r="55" spans="1:7" ht="18.75" customHeight="1" x14ac:dyDescent="0.25">
      <c r="A55" s="160">
        <v>19</v>
      </c>
      <c r="B55" s="225" t="s">
        <v>516</v>
      </c>
      <c r="C55" s="213"/>
      <c r="D55" s="162">
        <v>14</v>
      </c>
      <c r="E55" s="214"/>
      <c r="G55" s="223"/>
    </row>
    <row r="56" spans="1:7" ht="30" customHeight="1" x14ac:dyDescent="0.25">
      <c r="A56" s="160">
        <v>20</v>
      </c>
      <c r="B56" s="224" t="s">
        <v>479</v>
      </c>
      <c r="C56" s="213"/>
      <c r="D56" s="162">
        <v>18154</v>
      </c>
      <c r="E56" s="214"/>
      <c r="G56" s="223"/>
    </row>
    <row r="57" spans="1:7" ht="33" customHeight="1" x14ac:dyDescent="0.25">
      <c r="A57" s="160">
        <v>21</v>
      </c>
      <c r="B57" s="161" t="s">
        <v>268</v>
      </c>
      <c r="C57" s="213"/>
      <c r="D57" s="162">
        <v>10099</v>
      </c>
      <c r="E57" s="214"/>
      <c r="G57" s="223"/>
    </row>
    <row r="58" spans="1:7" ht="24" customHeight="1" x14ac:dyDescent="0.25">
      <c r="A58" s="160">
        <v>22</v>
      </c>
      <c r="B58" s="161" t="s">
        <v>480</v>
      </c>
      <c r="C58" s="213"/>
      <c r="D58" s="162">
        <v>5583</v>
      </c>
      <c r="E58" s="214"/>
      <c r="G58" s="223"/>
    </row>
    <row r="59" spans="1:7" ht="18.75" customHeight="1" x14ac:dyDescent="0.25">
      <c r="A59" s="160">
        <v>23</v>
      </c>
      <c r="B59" s="161" t="s">
        <v>487</v>
      </c>
      <c r="C59" s="213"/>
      <c r="D59" s="162">
        <v>2455</v>
      </c>
      <c r="E59" s="214"/>
      <c r="G59" s="223"/>
    </row>
    <row r="60" spans="1:7" ht="18.75" customHeight="1" x14ac:dyDescent="0.25">
      <c r="A60" s="160">
        <v>24</v>
      </c>
      <c r="B60" s="161" t="s">
        <v>481</v>
      </c>
      <c r="C60" s="213"/>
      <c r="D60" s="162">
        <v>1674</v>
      </c>
      <c r="E60" s="214"/>
      <c r="G60" s="223"/>
    </row>
    <row r="61" spans="1:7" ht="31.5" customHeight="1" x14ac:dyDescent="0.25">
      <c r="A61" s="160">
        <v>25</v>
      </c>
      <c r="B61" s="161" t="s">
        <v>489</v>
      </c>
      <c r="C61" s="213"/>
      <c r="D61" s="162">
        <v>300</v>
      </c>
      <c r="E61" s="214"/>
      <c r="G61" s="223"/>
    </row>
    <row r="62" spans="1:7" ht="22.5" customHeight="1" x14ac:dyDescent="0.25">
      <c r="A62" s="160">
        <v>26</v>
      </c>
      <c r="B62" s="161" t="s">
        <v>522</v>
      </c>
      <c r="C62" s="213"/>
      <c r="D62" s="162">
        <v>33582</v>
      </c>
      <c r="E62" s="214"/>
      <c r="G62" s="223"/>
    </row>
    <row r="63" spans="1:7" ht="35.25" customHeight="1" x14ac:dyDescent="0.25">
      <c r="A63" s="160">
        <v>27</v>
      </c>
      <c r="B63" s="161" t="s">
        <v>488</v>
      </c>
      <c r="C63" s="213"/>
      <c r="D63" s="162">
        <v>1940</v>
      </c>
      <c r="E63" s="214"/>
      <c r="G63" s="223"/>
    </row>
    <row r="64" spans="1:7" ht="26.25" customHeight="1" x14ac:dyDescent="0.25">
      <c r="A64" s="160">
        <v>28</v>
      </c>
      <c r="B64" s="161" t="s">
        <v>486</v>
      </c>
      <c r="C64" s="213"/>
      <c r="D64" s="162">
        <v>45526</v>
      </c>
      <c r="E64" s="214"/>
      <c r="G64" s="223"/>
    </row>
    <row r="65" spans="1:7" ht="44.25" customHeight="1" x14ac:dyDescent="0.25">
      <c r="A65" s="160">
        <v>29</v>
      </c>
      <c r="B65" s="161" t="s">
        <v>518</v>
      </c>
      <c r="C65" s="213"/>
      <c r="D65" s="162">
        <v>6806</v>
      </c>
      <c r="E65" s="214"/>
      <c r="G65" s="223"/>
    </row>
    <row r="66" spans="1:7" ht="33" customHeight="1" x14ac:dyDescent="0.25">
      <c r="A66" s="160">
        <v>30</v>
      </c>
      <c r="B66" s="161" t="s">
        <v>519</v>
      </c>
      <c r="C66" s="213"/>
      <c r="D66" s="162">
        <v>22200</v>
      </c>
      <c r="E66" s="214"/>
      <c r="G66" s="223"/>
    </row>
    <row r="67" spans="1:7" ht="63" customHeight="1" x14ac:dyDescent="0.25">
      <c r="A67" s="160">
        <v>31</v>
      </c>
      <c r="B67" s="161" t="s">
        <v>520</v>
      </c>
      <c r="C67" s="213"/>
      <c r="D67" s="162">
        <v>18541</v>
      </c>
      <c r="E67" s="214"/>
      <c r="G67" s="223"/>
    </row>
    <row r="68" spans="1:7" ht="36.75" customHeight="1" x14ac:dyDescent="0.25">
      <c r="A68" s="160">
        <v>32</v>
      </c>
      <c r="B68" s="161" t="s">
        <v>485</v>
      </c>
      <c r="C68" s="213"/>
      <c r="D68" s="162">
        <v>204</v>
      </c>
      <c r="E68" s="214"/>
      <c r="G68" s="223"/>
    </row>
    <row r="69" spans="1:7" ht="54.75" customHeight="1" x14ac:dyDescent="0.25">
      <c r="A69" s="160">
        <v>33</v>
      </c>
      <c r="B69" s="161" t="s">
        <v>521</v>
      </c>
      <c r="C69" s="213"/>
      <c r="D69" s="162">
        <v>53986</v>
      </c>
      <c r="E69" s="214"/>
      <c r="G69" s="223"/>
    </row>
    <row r="70" spans="1:7" ht="39" customHeight="1" x14ac:dyDescent="0.25">
      <c r="A70" s="160">
        <v>34</v>
      </c>
      <c r="B70" s="161" t="s">
        <v>528</v>
      </c>
      <c r="C70" s="213"/>
      <c r="D70" s="162">
        <v>1638</v>
      </c>
      <c r="E70" s="214"/>
      <c r="G70" s="223"/>
    </row>
    <row r="71" spans="1:7" ht="66" customHeight="1" x14ac:dyDescent="0.25">
      <c r="A71" s="160">
        <v>35</v>
      </c>
      <c r="B71" s="161" t="s">
        <v>575</v>
      </c>
      <c r="C71" s="213"/>
      <c r="D71" s="162">
        <v>14275</v>
      </c>
      <c r="E71" s="214"/>
      <c r="G71" s="223"/>
    </row>
    <row r="72" spans="1:7" ht="21" customHeight="1" x14ac:dyDescent="0.25">
      <c r="A72" s="160">
        <v>36</v>
      </c>
      <c r="B72" s="161" t="s">
        <v>517</v>
      </c>
      <c r="C72" s="213"/>
      <c r="D72" s="162">
        <v>2165</v>
      </c>
      <c r="E72" s="214"/>
      <c r="G72" s="223"/>
    </row>
    <row r="73" spans="1:7" ht="24" customHeight="1" x14ac:dyDescent="0.25">
      <c r="A73" s="160">
        <v>37</v>
      </c>
      <c r="B73" s="161" t="s">
        <v>272</v>
      </c>
      <c r="C73" s="213"/>
      <c r="D73" s="162">
        <v>222437</v>
      </c>
      <c r="E73" s="214"/>
      <c r="G73" s="223"/>
    </row>
    <row r="74" spans="1:7" ht="21.75" customHeight="1" x14ac:dyDescent="0.25">
      <c r="A74" s="211" t="s">
        <v>10</v>
      </c>
      <c r="B74" s="212" t="s">
        <v>97</v>
      </c>
      <c r="C74" s="216"/>
      <c r="D74" s="213">
        <v>6896924</v>
      </c>
      <c r="E74" s="216"/>
    </row>
    <row r="75" spans="1:7" ht="21" customHeight="1" x14ac:dyDescent="0.25">
      <c r="A75" s="211" t="s">
        <v>13</v>
      </c>
      <c r="B75" s="212" t="s">
        <v>246</v>
      </c>
      <c r="C75" s="216"/>
      <c r="D75" s="213">
        <v>227486</v>
      </c>
      <c r="E75" s="216"/>
    </row>
    <row r="76" spans="1:7" ht="18.75" customHeight="1" x14ac:dyDescent="0.25">
      <c r="A76" s="211" t="s">
        <v>18</v>
      </c>
      <c r="B76" s="212" t="s">
        <v>497</v>
      </c>
      <c r="C76" s="220">
        <v>7600</v>
      </c>
      <c r="D76" s="213"/>
      <c r="E76" s="216"/>
    </row>
    <row r="77" spans="1:7" ht="15.75" x14ac:dyDescent="0.25">
      <c r="B77" s="121"/>
    </row>
  </sheetData>
  <mergeCells count="2">
    <mergeCell ref="A3:E3"/>
    <mergeCell ref="A4:E4"/>
  </mergeCells>
  <pageMargins left="0.7" right="0.6" top="0.7" bottom="0.6" header="0.19" footer="0.24"/>
  <pageSetup paperSize="9" orientation="portrait" r:id="rId1"/>
  <headerFooter>
    <oddHeader>&amp;RBiểu số 04</oddHead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56"/>
  <sheetViews>
    <sheetView workbookViewId="0">
      <selection activeCell="A4" sqref="A4:F4"/>
    </sheetView>
  </sheetViews>
  <sheetFormatPr defaultRowHeight="15" x14ac:dyDescent="0.25"/>
  <cols>
    <col min="1" max="1" width="4.7109375" customWidth="1"/>
    <col min="2" max="2" width="40.7109375" customWidth="1"/>
    <col min="3" max="3" width="10.7109375" customWidth="1"/>
    <col min="4" max="4" width="11.5703125" customWidth="1"/>
    <col min="5" max="5" width="10.7109375" customWidth="1"/>
    <col min="6" max="6" width="10.140625" customWidth="1"/>
  </cols>
  <sheetData>
    <row r="1" spans="1:7" ht="15.75" x14ac:dyDescent="0.25">
      <c r="F1" s="1"/>
    </row>
    <row r="2" spans="1:7" ht="15.75" x14ac:dyDescent="0.25">
      <c r="F2" s="1"/>
    </row>
    <row r="3" spans="1:7" ht="15.75" customHeight="1" x14ac:dyDescent="0.25">
      <c r="A3" s="227" t="s">
        <v>507</v>
      </c>
      <c r="B3" s="227"/>
      <c r="C3" s="227"/>
      <c r="D3" s="227"/>
      <c r="E3" s="227"/>
      <c r="F3" s="227"/>
    </row>
    <row r="4" spans="1:7" ht="33.75" customHeight="1" x14ac:dyDescent="0.25">
      <c r="A4" s="233" t="s">
        <v>578</v>
      </c>
      <c r="B4" s="233"/>
      <c r="C4" s="233"/>
      <c r="D4" s="233"/>
      <c r="E4" s="233"/>
      <c r="F4" s="233"/>
    </row>
    <row r="5" spans="1:7" ht="15.75" x14ac:dyDescent="0.25">
      <c r="A5" s="95"/>
      <c r="B5" s="95"/>
      <c r="C5" s="95"/>
      <c r="D5" s="95"/>
      <c r="E5" s="95"/>
      <c r="F5" s="95"/>
    </row>
    <row r="6" spans="1:7" ht="15.75" x14ac:dyDescent="0.25">
      <c r="E6" s="154"/>
      <c r="F6" s="2" t="s">
        <v>556</v>
      </c>
    </row>
    <row r="7" spans="1:7" ht="15.75" x14ac:dyDescent="0.25">
      <c r="A7" s="231" t="s">
        <v>557</v>
      </c>
      <c r="B7" s="231" t="s">
        <v>1</v>
      </c>
      <c r="C7" s="231" t="s">
        <v>124</v>
      </c>
      <c r="D7" s="231" t="s">
        <v>132</v>
      </c>
      <c r="E7" s="231" t="s">
        <v>31</v>
      </c>
      <c r="F7" s="231"/>
    </row>
    <row r="8" spans="1:7" ht="31.5" x14ac:dyDescent="0.25">
      <c r="A8" s="231"/>
      <c r="B8" s="231"/>
      <c r="C8" s="231"/>
      <c r="D8" s="231"/>
      <c r="E8" s="54" t="s">
        <v>32</v>
      </c>
      <c r="F8" s="54" t="s">
        <v>82</v>
      </c>
    </row>
    <row r="9" spans="1:7" ht="17.25" customHeight="1" x14ac:dyDescent="0.25">
      <c r="A9" s="5" t="s">
        <v>2</v>
      </c>
      <c r="B9" s="5" t="s">
        <v>3</v>
      </c>
      <c r="C9" s="5">
        <v>1</v>
      </c>
      <c r="D9" s="5">
        <v>2</v>
      </c>
      <c r="E9" s="5" t="s">
        <v>61</v>
      </c>
      <c r="F9" s="5" t="s">
        <v>62</v>
      </c>
    </row>
    <row r="10" spans="1:7" ht="23.25" customHeight="1" x14ac:dyDescent="0.25">
      <c r="A10" s="5"/>
      <c r="B10" s="11" t="s">
        <v>14</v>
      </c>
      <c r="C10" s="13">
        <f>C11+C12+C52</f>
        <v>8598374</v>
      </c>
      <c r="D10" s="13">
        <f>D11+D12+D50+D51</f>
        <v>14555971</v>
      </c>
      <c r="E10" s="13">
        <f>D10-C10</f>
        <v>5957597</v>
      </c>
      <c r="F10" s="15">
        <f>D10/C10*100</f>
        <v>169.28748388939582</v>
      </c>
      <c r="G10" s="16"/>
    </row>
    <row r="11" spans="1:7" ht="36" customHeight="1" x14ac:dyDescent="0.25">
      <c r="A11" s="5" t="s">
        <v>2</v>
      </c>
      <c r="B11" s="11" t="s">
        <v>251</v>
      </c>
      <c r="C11" s="13">
        <v>2558494</v>
      </c>
      <c r="D11" s="13">
        <v>3520133</v>
      </c>
      <c r="E11" s="13">
        <f t="shared" ref="E11" si="0">D11-C11</f>
        <v>961639</v>
      </c>
      <c r="F11" s="15">
        <f>D11/C11*100</f>
        <v>137.58613465577795</v>
      </c>
      <c r="G11" s="16"/>
    </row>
    <row r="12" spans="1:7" ht="32.25" customHeight="1" x14ac:dyDescent="0.25">
      <c r="A12" s="5" t="s">
        <v>3</v>
      </c>
      <c r="B12" s="11" t="s">
        <v>252</v>
      </c>
      <c r="C12" s="13">
        <f>C13+C30+C44+C45+C46+C47</f>
        <v>6032280</v>
      </c>
      <c r="D12" s="13">
        <f>D13+D30+D44+D45+D46+D47</f>
        <v>5543226</v>
      </c>
      <c r="E12" s="13">
        <f>E13+E30+E44+E45+E46+E47</f>
        <v>-489054</v>
      </c>
      <c r="F12" s="15">
        <f>D12/C12*100</f>
        <v>91.892717181563185</v>
      </c>
      <c r="G12" s="16"/>
    </row>
    <row r="13" spans="1:7" ht="20.25" customHeight="1" x14ac:dyDescent="0.25">
      <c r="A13" s="5" t="s">
        <v>11</v>
      </c>
      <c r="B13" s="11" t="s">
        <v>106</v>
      </c>
      <c r="C13" s="13">
        <v>1899768</v>
      </c>
      <c r="D13" s="13">
        <f>2011125+29000</f>
        <v>2040125</v>
      </c>
      <c r="E13" s="13">
        <f>D13-C13</f>
        <v>140357</v>
      </c>
      <c r="F13" s="15">
        <f>D13/C13*100</f>
        <v>107.38811265375561</v>
      </c>
    </row>
    <row r="14" spans="1:7" ht="15.75" hidden="1" x14ac:dyDescent="0.25">
      <c r="A14" s="4">
        <v>1</v>
      </c>
      <c r="B14" s="6" t="s">
        <v>84</v>
      </c>
      <c r="C14" s="12"/>
      <c r="D14" s="21"/>
      <c r="E14" s="21"/>
      <c r="F14" s="21"/>
    </row>
    <row r="15" spans="1:7" ht="15.75" hidden="1" x14ac:dyDescent="0.25">
      <c r="A15" s="4" t="s">
        <v>4</v>
      </c>
      <c r="B15" s="6" t="s">
        <v>86</v>
      </c>
      <c r="C15" s="21"/>
      <c r="D15" s="21"/>
      <c r="E15" s="21"/>
      <c r="F15" s="21"/>
    </row>
    <row r="16" spans="1:7" ht="15.75" hidden="1" x14ac:dyDescent="0.25">
      <c r="A16" s="4" t="s">
        <v>4</v>
      </c>
      <c r="B16" s="6" t="s">
        <v>87</v>
      </c>
      <c r="C16" s="21"/>
      <c r="D16" s="21"/>
      <c r="E16" s="21"/>
      <c r="F16" s="21"/>
    </row>
    <row r="17" spans="1:7" ht="15.75" hidden="1" x14ac:dyDescent="0.25">
      <c r="A17" s="4" t="s">
        <v>4</v>
      </c>
      <c r="B17" s="6" t="s">
        <v>107</v>
      </c>
      <c r="C17" s="21"/>
      <c r="D17" s="21"/>
      <c r="E17" s="21"/>
      <c r="F17" s="21"/>
    </row>
    <row r="18" spans="1:7" ht="15.75" hidden="1" x14ac:dyDescent="0.25">
      <c r="A18" s="4" t="s">
        <v>4</v>
      </c>
      <c r="B18" s="6" t="s">
        <v>108</v>
      </c>
      <c r="C18" s="21"/>
      <c r="D18" s="21"/>
      <c r="E18" s="21"/>
      <c r="F18" s="21"/>
    </row>
    <row r="19" spans="1:7" ht="15.75" hidden="1" x14ac:dyDescent="0.25">
      <c r="A19" s="4" t="s">
        <v>4</v>
      </c>
      <c r="B19" s="6" t="s">
        <v>109</v>
      </c>
      <c r="C19" s="21"/>
      <c r="D19" s="21"/>
      <c r="E19" s="21"/>
      <c r="F19" s="21"/>
    </row>
    <row r="20" spans="1:7" ht="15.75" hidden="1" x14ac:dyDescent="0.25">
      <c r="A20" s="4" t="s">
        <v>4</v>
      </c>
      <c r="B20" s="6" t="s">
        <v>110</v>
      </c>
      <c r="C20" s="21"/>
      <c r="D20" s="21"/>
      <c r="E20" s="21"/>
      <c r="F20" s="21"/>
    </row>
    <row r="21" spans="1:7" ht="15.75" hidden="1" x14ac:dyDescent="0.25">
      <c r="A21" s="4" t="s">
        <v>4</v>
      </c>
      <c r="B21" s="6" t="s">
        <v>111</v>
      </c>
      <c r="C21" s="21"/>
      <c r="D21" s="21"/>
      <c r="E21" s="21"/>
      <c r="F21" s="21"/>
    </row>
    <row r="22" spans="1:7" ht="15.75" hidden="1" x14ac:dyDescent="0.25">
      <c r="A22" s="4" t="s">
        <v>4</v>
      </c>
      <c r="B22" s="6" t="s">
        <v>112</v>
      </c>
      <c r="C22" s="21"/>
      <c r="D22" s="21"/>
      <c r="E22" s="21"/>
      <c r="F22" s="21"/>
    </row>
    <row r="23" spans="1:7" ht="15.75" hidden="1" x14ac:dyDescent="0.25">
      <c r="A23" s="4" t="s">
        <v>4</v>
      </c>
      <c r="B23" s="6" t="s">
        <v>113</v>
      </c>
      <c r="C23" s="21"/>
      <c r="D23" s="21"/>
      <c r="E23" s="21"/>
      <c r="F23" s="21"/>
    </row>
    <row r="24" spans="1:7" ht="15.75" hidden="1" x14ac:dyDescent="0.25">
      <c r="A24" s="4" t="s">
        <v>4</v>
      </c>
      <c r="B24" s="6" t="s">
        <v>114</v>
      </c>
      <c r="C24" s="21"/>
      <c r="D24" s="21"/>
      <c r="E24" s="21"/>
      <c r="F24" s="21"/>
    </row>
    <row r="25" spans="1:7" ht="19.5" hidden="1" customHeight="1" x14ac:dyDescent="0.25">
      <c r="A25" s="4" t="s">
        <v>4</v>
      </c>
      <c r="B25" s="6" t="s">
        <v>115</v>
      </c>
      <c r="C25" s="21"/>
      <c r="D25" s="21"/>
      <c r="E25" s="21"/>
      <c r="F25" s="21"/>
    </row>
    <row r="26" spans="1:7" ht="15.75" hidden="1" x14ac:dyDescent="0.25">
      <c r="A26" s="4" t="s">
        <v>4</v>
      </c>
      <c r="B26" s="6" t="s">
        <v>116</v>
      </c>
      <c r="C26" s="21"/>
      <c r="D26" s="21"/>
      <c r="E26" s="21"/>
      <c r="F26" s="21"/>
    </row>
    <row r="27" spans="1:7" ht="15.75" hidden="1" x14ac:dyDescent="0.25">
      <c r="A27" s="4" t="s">
        <v>4</v>
      </c>
      <c r="B27" s="6" t="s">
        <v>117</v>
      </c>
      <c r="C27" s="21"/>
      <c r="D27" s="21"/>
      <c r="E27" s="21"/>
      <c r="F27" s="21"/>
    </row>
    <row r="28" spans="1:7" ht="78.75" hidden="1" x14ac:dyDescent="0.25">
      <c r="A28" s="4">
        <v>2</v>
      </c>
      <c r="B28" s="6" t="s">
        <v>90</v>
      </c>
      <c r="C28" s="21"/>
      <c r="D28" s="21"/>
      <c r="E28" s="21"/>
      <c r="F28" s="21"/>
    </row>
    <row r="29" spans="1:7" ht="15.75" hidden="1" x14ac:dyDescent="0.25">
      <c r="A29" s="4">
        <v>3</v>
      </c>
      <c r="B29" s="6" t="s">
        <v>91</v>
      </c>
      <c r="C29" s="21"/>
      <c r="D29" s="21"/>
      <c r="E29" s="21"/>
      <c r="F29" s="21"/>
    </row>
    <row r="30" spans="1:7" ht="21.75" customHeight="1" x14ac:dyDescent="0.25">
      <c r="A30" s="5" t="s">
        <v>7</v>
      </c>
      <c r="B30" s="11" t="s">
        <v>15</v>
      </c>
      <c r="C30" s="13">
        <f>SUM(C31:C43)</f>
        <v>2680920</v>
      </c>
      <c r="D30" s="13">
        <f>SUM(D31:D43)</f>
        <v>2347472</v>
      </c>
      <c r="E30" s="13">
        <f>SUM(E31:E43)</f>
        <v>-333448</v>
      </c>
      <c r="F30" s="15">
        <f>D30/C30*100</f>
        <v>87.562180147113679</v>
      </c>
      <c r="G30" s="16"/>
    </row>
    <row r="31" spans="1:7" ht="15.75" x14ac:dyDescent="0.25">
      <c r="A31" s="4" t="s">
        <v>4</v>
      </c>
      <c r="B31" s="6" t="s">
        <v>86</v>
      </c>
      <c r="C31" s="12">
        <v>671847</v>
      </c>
      <c r="D31" s="27">
        <v>417641</v>
      </c>
      <c r="E31" s="12">
        <f>D31-C31</f>
        <v>-254206</v>
      </c>
      <c r="F31" s="18">
        <f>D31/C31*100</f>
        <v>62.163111541764714</v>
      </c>
    </row>
    <row r="32" spans="1:7" ht="15.75" x14ac:dyDescent="0.25">
      <c r="A32" s="4" t="s">
        <v>4</v>
      </c>
      <c r="B32" s="6" t="s">
        <v>122</v>
      </c>
      <c r="C32" s="12">
        <v>22173</v>
      </c>
      <c r="D32" s="27">
        <v>9144</v>
      </c>
      <c r="E32" s="12">
        <f t="shared" ref="E32:E43" si="1">D32-C32</f>
        <v>-13029</v>
      </c>
      <c r="F32" s="18">
        <f t="shared" ref="F32:F45" si="2">D32/C32*100</f>
        <v>41.239345149506157</v>
      </c>
    </row>
    <row r="33" spans="1:7" ht="15.75" x14ac:dyDescent="0.25">
      <c r="A33" s="4" t="s">
        <v>4</v>
      </c>
      <c r="B33" s="6" t="s">
        <v>107</v>
      </c>
      <c r="C33" s="12">
        <f>71000+19850</f>
        <v>90850</v>
      </c>
      <c r="D33" s="27">
        <v>92574</v>
      </c>
      <c r="E33" s="12">
        <f t="shared" si="1"/>
        <v>1724</v>
      </c>
      <c r="F33" s="18">
        <f t="shared" si="2"/>
        <v>101.89763346175013</v>
      </c>
    </row>
    <row r="34" spans="1:7" ht="15.75" x14ac:dyDescent="0.25">
      <c r="A34" s="4" t="s">
        <v>4</v>
      </c>
      <c r="B34" s="6" t="s">
        <v>108</v>
      </c>
      <c r="C34" s="12">
        <v>45100</v>
      </c>
      <c r="D34" s="27">
        <v>62588</v>
      </c>
      <c r="E34" s="12">
        <f t="shared" si="1"/>
        <v>17488</v>
      </c>
      <c r="F34" s="18">
        <f t="shared" si="2"/>
        <v>138.77605321507761</v>
      </c>
    </row>
    <row r="35" spans="1:7" ht="15.75" x14ac:dyDescent="0.25">
      <c r="A35" s="4" t="s">
        <v>4</v>
      </c>
      <c r="B35" s="6" t="s">
        <v>109</v>
      </c>
      <c r="C35" s="12">
        <v>563753</v>
      </c>
      <c r="D35" s="27">
        <v>691518</v>
      </c>
      <c r="E35" s="12">
        <f t="shared" si="1"/>
        <v>127765</v>
      </c>
      <c r="F35" s="18">
        <f t="shared" si="2"/>
        <v>122.66329403125127</v>
      </c>
    </row>
    <row r="36" spans="1:7" ht="15.75" x14ac:dyDescent="0.25">
      <c r="A36" s="4" t="s">
        <v>4</v>
      </c>
      <c r="B36" s="6" t="s">
        <v>110</v>
      </c>
      <c r="C36" s="12">
        <v>51000</v>
      </c>
      <c r="D36" s="27">
        <v>50707</v>
      </c>
      <c r="E36" s="12">
        <f t="shared" si="1"/>
        <v>-293</v>
      </c>
      <c r="F36" s="18">
        <f t="shared" si="2"/>
        <v>99.425490196078442</v>
      </c>
    </row>
    <row r="37" spans="1:7" ht="15.75" x14ac:dyDescent="0.25">
      <c r="A37" s="4" t="s">
        <v>4</v>
      </c>
      <c r="B37" s="6" t="s">
        <v>111</v>
      </c>
      <c r="C37" s="12">
        <v>35677</v>
      </c>
      <c r="D37" s="27">
        <v>15891</v>
      </c>
      <c r="E37" s="12">
        <f t="shared" si="1"/>
        <v>-19786</v>
      </c>
      <c r="F37" s="18">
        <f t="shared" si="2"/>
        <v>44.541301118367578</v>
      </c>
    </row>
    <row r="38" spans="1:7" ht="15.75" x14ac:dyDescent="0.25">
      <c r="A38" s="4" t="s">
        <v>4</v>
      </c>
      <c r="B38" s="6" t="s">
        <v>112</v>
      </c>
      <c r="C38" s="12">
        <v>23610</v>
      </c>
      <c r="D38" s="27">
        <v>21414</v>
      </c>
      <c r="E38" s="12">
        <f t="shared" si="1"/>
        <v>-2196</v>
      </c>
      <c r="F38" s="18">
        <f t="shared" si="2"/>
        <v>90.698856416772557</v>
      </c>
    </row>
    <row r="39" spans="1:7" ht="15.75" x14ac:dyDescent="0.25">
      <c r="A39" s="4" t="s">
        <v>4</v>
      </c>
      <c r="B39" s="6" t="s">
        <v>113</v>
      </c>
      <c r="C39" s="12">
        <v>41569</v>
      </c>
      <c r="D39" s="27">
        <v>21963</v>
      </c>
      <c r="E39" s="12">
        <f t="shared" si="1"/>
        <v>-19606</v>
      </c>
      <c r="F39" s="18">
        <f t="shared" si="2"/>
        <v>52.835045346291707</v>
      </c>
    </row>
    <row r="40" spans="1:7" ht="15.75" x14ac:dyDescent="0.25">
      <c r="A40" s="4" t="s">
        <v>4</v>
      </c>
      <c r="B40" s="6" t="s">
        <v>114</v>
      </c>
      <c r="C40" s="12">
        <v>539397</v>
      </c>
      <c r="D40" s="27">
        <v>600175</v>
      </c>
      <c r="E40" s="12">
        <f t="shared" si="1"/>
        <v>60778</v>
      </c>
      <c r="F40" s="18">
        <f t="shared" si="2"/>
        <v>111.26776752558875</v>
      </c>
    </row>
    <row r="41" spans="1:7" ht="31.5" x14ac:dyDescent="0.25">
      <c r="A41" s="4" t="s">
        <v>4</v>
      </c>
      <c r="B41" s="152" t="s">
        <v>115</v>
      </c>
      <c r="C41" s="12">
        <v>399879</v>
      </c>
      <c r="D41" s="27">
        <v>284059</v>
      </c>
      <c r="E41" s="12">
        <f t="shared" si="1"/>
        <v>-115820</v>
      </c>
      <c r="F41" s="18">
        <f t="shared" si="2"/>
        <v>71.03623846213479</v>
      </c>
    </row>
    <row r="42" spans="1:7" ht="18" customHeight="1" x14ac:dyDescent="0.25">
      <c r="A42" s="4" t="s">
        <v>4</v>
      </c>
      <c r="B42" s="6" t="s">
        <v>116</v>
      </c>
      <c r="C42" s="12">
        <v>141040</v>
      </c>
      <c r="D42" s="27">
        <v>67727</v>
      </c>
      <c r="E42" s="12">
        <f t="shared" si="1"/>
        <v>-73313</v>
      </c>
      <c r="F42" s="18">
        <f t="shared" si="2"/>
        <v>48.019710720363015</v>
      </c>
    </row>
    <row r="43" spans="1:7" ht="19.5" customHeight="1" x14ac:dyDescent="0.25">
      <c r="A43" s="4" t="s">
        <v>4</v>
      </c>
      <c r="B43" s="6" t="s">
        <v>195</v>
      </c>
      <c r="C43" s="12">
        <f>50025+5000</f>
        <v>55025</v>
      </c>
      <c r="D43" s="27">
        <v>12071</v>
      </c>
      <c r="E43" s="12">
        <f t="shared" si="1"/>
        <v>-42954</v>
      </c>
      <c r="F43" s="18">
        <f t="shared" si="2"/>
        <v>21.937301226715132</v>
      </c>
    </row>
    <row r="44" spans="1:7" ht="36" customHeight="1" x14ac:dyDescent="0.25">
      <c r="A44" s="5" t="s">
        <v>8</v>
      </c>
      <c r="B44" s="153" t="s">
        <v>247</v>
      </c>
      <c r="C44" s="28">
        <v>2600</v>
      </c>
      <c r="D44" s="13">
        <v>733</v>
      </c>
      <c r="E44" s="13">
        <f>D44-C44</f>
        <v>-1867</v>
      </c>
      <c r="F44" s="34">
        <f t="shared" si="2"/>
        <v>28.192307692307693</v>
      </c>
    </row>
    <row r="45" spans="1:7" ht="20.25" customHeight="1" x14ac:dyDescent="0.25">
      <c r="A45" s="5" t="s">
        <v>9</v>
      </c>
      <c r="B45" s="11" t="s">
        <v>248</v>
      </c>
      <c r="C45" s="28">
        <v>1000</v>
      </c>
      <c r="D45" s="33">
        <v>1000</v>
      </c>
      <c r="E45" s="13">
        <f t="shared" ref="E45:E46" si="3">D45-C45</f>
        <v>0</v>
      </c>
      <c r="F45" s="34">
        <f t="shared" si="2"/>
        <v>100</v>
      </c>
    </row>
    <row r="46" spans="1:7" ht="20.25" customHeight="1" x14ac:dyDescent="0.25">
      <c r="A46" s="5" t="s">
        <v>23</v>
      </c>
      <c r="B46" s="11" t="s">
        <v>38</v>
      </c>
      <c r="C46" s="28">
        <v>102133</v>
      </c>
      <c r="D46" s="21"/>
      <c r="E46" s="13">
        <f t="shared" si="3"/>
        <v>-102133</v>
      </c>
      <c r="F46" s="34"/>
    </row>
    <row r="47" spans="1:7" ht="20.25" customHeight="1" x14ac:dyDescent="0.25">
      <c r="A47" s="5" t="s">
        <v>92</v>
      </c>
      <c r="B47" s="11" t="s">
        <v>249</v>
      </c>
      <c r="C47" s="13">
        <f>C48+C49</f>
        <v>1345859</v>
      </c>
      <c r="D47" s="13">
        <f>D48+D49</f>
        <v>1153896</v>
      </c>
      <c r="E47" s="13">
        <f>SUM(E48:E49)</f>
        <v>-191963</v>
      </c>
      <c r="F47" s="15">
        <f>D47/C47*100</f>
        <v>85.736767373105209</v>
      </c>
      <c r="G47" s="16"/>
    </row>
    <row r="48" spans="1:7" ht="20.25" customHeight="1" x14ac:dyDescent="0.25">
      <c r="A48" s="144" t="s">
        <v>4</v>
      </c>
      <c r="B48" s="40" t="s">
        <v>40</v>
      </c>
      <c r="C48" s="22">
        <v>248129</v>
      </c>
      <c r="D48" s="22">
        <v>59223</v>
      </c>
      <c r="E48" s="12">
        <f>D48-C48</f>
        <v>-188906</v>
      </c>
      <c r="F48" s="18"/>
    </row>
    <row r="49" spans="1:6" ht="20.25" customHeight="1" x14ac:dyDescent="0.25">
      <c r="A49" s="144" t="s">
        <v>4</v>
      </c>
      <c r="B49" s="40" t="s">
        <v>250</v>
      </c>
      <c r="C49" s="22">
        <v>1097730</v>
      </c>
      <c r="D49" s="22">
        <f>969791+123243+1639</f>
        <v>1094673</v>
      </c>
      <c r="E49" s="12">
        <f>D49-C49</f>
        <v>-3057</v>
      </c>
      <c r="F49" s="21"/>
    </row>
    <row r="50" spans="1:6" ht="31.5" x14ac:dyDescent="0.25">
      <c r="A50" s="5" t="s">
        <v>10</v>
      </c>
      <c r="B50" s="11" t="s">
        <v>97</v>
      </c>
      <c r="C50" s="21"/>
      <c r="D50" s="13">
        <v>5294605</v>
      </c>
      <c r="E50" s="13">
        <f>D50-C50</f>
        <v>5294605</v>
      </c>
      <c r="F50" s="21"/>
    </row>
    <row r="51" spans="1:6" ht="21.75" customHeight="1" x14ac:dyDescent="0.25">
      <c r="A51" s="73" t="s">
        <v>13</v>
      </c>
      <c r="B51" s="11" t="s">
        <v>246</v>
      </c>
      <c r="C51" s="21"/>
      <c r="D51" s="13">
        <v>198007</v>
      </c>
      <c r="E51" s="13">
        <f>D51-C51</f>
        <v>198007</v>
      </c>
      <c r="F51" s="21"/>
    </row>
    <row r="52" spans="1:6" ht="18" customHeight="1" x14ac:dyDescent="0.25">
      <c r="A52" s="100" t="s">
        <v>18</v>
      </c>
      <c r="B52" s="11" t="s">
        <v>497</v>
      </c>
      <c r="C52" s="33">
        <v>7600</v>
      </c>
      <c r="D52" s="13"/>
      <c r="E52" s="13">
        <f>D52-C52</f>
        <v>-7600</v>
      </c>
      <c r="F52" s="21"/>
    </row>
    <row r="53" spans="1:6" ht="9.75" customHeight="1" x14ac:dyDescent="0.25">
      <c r="A53" s="36"/>
      <c r="B53" s="37"/>
      <c r="C53" s="39"/>
      <c r="D53" s="39"/>
      <c r="E53" s="38"/>
      <c r="F53" s="38"/>
    </row>
    <row r="54" spans="1:6" ht="60.75" customHeight="1" x14ac:dyDescent="0.25">
      <c r="A54" s="232"/>
      <c r="B54" s="232"/>
      <c r="C54" s="232"/>
      <c r="D54" s="232"/>
      <c r="E54" s="232"/>
      <c r="F54" s="232"/>
    </row>
    <row r="55" spans="1:6" s="9" customFormat="1" ht="23.25" customHeight="1" x14ac:dyDescent="0.25">
      <c r="A55" s="8"/>
    </row>
    <row r="56" spans="1:6" ht="54" customHeight="1" x14ac:dyDescent="0.25">
      <c r="A56" s="232"/>
      <c r="B56" s="232"/>
      <c r="C56" s="232"/>
      <c r="D56" s="232"/>
      <c r="E56" s="232"/>
      <c r="F56" s="232"/>
    </row>
  </sheetData>
  <mergeCells count="9">
    <mergeCell ref="A3:F3"/>
    <mergeCell ref="A4:F4"/>
    <mergeCell ref="A56:F56"/>
    <mergeCell ref="A7:A8"/>
    <mergeCell ref="B7:B8"/>
    <mergeCell ref="C7:C8"/>
    <mergeCell ref="D7:D8"/>
    <mergeCell ref="E7:F7"/>
    <mergeCell ref="A54:F54"/>
  </mergeCells>
  <pageMargins left="0.7" right="0.6" top="0.7" bottom="0.6" header="0.3" footer="0.3"/>
  <pageSetup paperSize="9" orientation="portrait" r:id="rId1"/>
  <headerFooter>
    <oddHeader>&amp;RBiểu số 05</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80"/>
  <sheetViews>
    <sheetView workbookViewId="0">
      <pane xSplit="1" ySplit="9" topLeftCell="B56" activePane="bottomRight" state="frozen"/>
      <selection pane="topRight" activeCell="B1" sqref="B1"/>
      <selection pane="bottomLeft" activeCell="A10" sqref="A10"/>
      <selection pane="bottomRight" activeCell="M6" sqref="M6"/>
    </sheetView>
  </sheetViews>
  <sheetFormatPr defaultRowHeight="15" x14ac:dyDescent="0.25"/>
  <cols>
    <col min="1" max="1" width="4.85546875" customWidth="1"/>
    <col min="2" max="2" width="61.7109375" customWidth="1"/>
    <col min="3" max="3" width="10.42578125" customWidth="1"/>
    <col min="4" max="4" width="10.140625" customWidth="1"/>
    <col min="5" max="5" width="10.28515625" customWidth="1"/>
    <col min="6" max="7" width="11.5703125" customWidth="1"/>
    <col min="8" max="8" width="10.42578125" customWidth="1"/>
    <col min="9" max="9" width="8.28515625" customWidth="1"/>
    <col min="10" max="10" width="8.42578125" customWidth="1"/>
    <col min="11" max="11" width="8" customWidth="1"/>
    <col min="12" max="12" width="9.85546875" bestFit="1" customWidth="1"/>
    <col min="14" max="14" width="10.140625" bestFit="1" customWidth="1"/>
  </cols>
  <sheetData>
    <row r="1" spans="1:14" ht="15.75" x14ac:dyDescent="0.25">
      <c r="K1" s="1"/>
    </row>
    <row r="2" spans="1:14" ht="15.75" x14ac:dyDescent="0.25">
      <c r="K2" s="1"/>
    </row>
    <row r="3" spans="1:14" s="154" customFormat="1" ht="34.5" customHeight="1" x14ac:dyDescent="0.25">
      <c r="A3" s="227" t="s">
        <v>529</v>
      </c>
      <c r="B3" s="227"/>
      <c r="C3" s="227"/>
      <c r="D3" s="227"/>
      <c r="E3" s="227"/>
      <c r="F3" s="227"/>
      <c r="G3" s="227"/>
      <c r="H3" s="227"/>
      <c r="I3" s="227"/>
      <c r="J3" s="227"/>
      <c r="K3" s="227"/>
    </row>
    <row r="4" spans="1:14" s="154" customFormat="1" ht="15.75" x14ac:dyDescent="0.25">
      <c r="A4" s="229" t="s">
        <v>581</v>
      </c>
      <c r="B4" s="229"/>
      <c r="C4" s="229"/>
      <c r="D4" s="229"/>
      <c r="E4" s="229"/>
      <c r="F4" s="229"/>
      <c r="G4" s="229"/>
      <c r="H4" s="229"/>
      <c r="I4" s="229"/>
      <c r="J4" s="229"/>
      <c r="K4" s="229"/>
    </row>
    <row r="5" spans="1:14" s="154" customFormat="1" ht="15.75" x14ac:dyDescent="0.25">
      <c r="A5" s="145"/>
      <c r="B5" s="145"/>
      <c r="C5" s="145"/>
      <c r="D5" s="145"/>
      <c r="E5" s="145"/>
      <c r="F5" s="145"/>
      <c r="G5" s="145"/>
      <c r="H5" s="145"/>
      <c r="I5" s="145"/>
      <c r="J5" s="145"/>
      <c r="K5" s="145"/>
    </row>
    <row r="6" spans="1:14" s="154" customFormat="1" ht="15.75" x14ac:dyDescent="0.25">
      <c r="K6" s="2" t="s">
        <v>556</v>
      </c>
    </row>
    <row r="7" spans="1:14" s="154" customFormat="1" ht="15.75" x14ac:dyDescent="0.25">
      <c r="A7" s="231" t="s">
        <v>557</v>
      </c>
      <c r="B7" s="231" t="s">
        <v>453</v>
      </c>
      <c r="C7" s="231" t="s">
        <v>491</v>
      </c>
      <c r="D7" s="231" t="s">
        <v>98</v>
      </c>
      <c r="E7" s="231"/>
      <c r="F7" s="231" t="s">
        <v>132</v>
      </c>
      <c r="G7" s="231" t="s">
        <v>98</v>
      </c>
      <c r="H7" s="231"/>
      <c r="I7" s="231" t="s">
        <v>68</v>
      </c>
      <c r="J7" s="231"/>
      <c r="K7" s="231"/>
    </row>
    <row r="8" spans="1:14" s="154" customFormat="1" ht="63" x14ac:dyDescent="0.25">
      <c r="A8" s="231"/>
      <c r="B8" s="231"/>
      <c r="C8" s="231"/>
      <c r="D8" s="146" t="s">
        <v>241</v>
      </c>
      <c r="E8" s="146" t="s">
        <v>60</v>
      </c>
      <c r="F8" s="231"/>
      <c r="G8" s="146" t="s">
        <v>241</v>
      </c>
      <c r="H8" s="146" t="s">
        <v>60</v>
      </c>
      <c r="I8" s="146" t="s">
        <v>99</v>
      </c>
      <c r="J8" s="146" t="s">
        <v>241</v>
      </c>
      <c r="K8" s="146" t="s">
        <v>60</v>
      </c>
    </row>
    <row r="9" spans="1:14" s="154" customFormat="1" ht="19.5" customHeight="1" x14ac:dyDescent="0.25">
      <c r="A9" s="146" t="s">
        <v>2</v>
      </c>
      <c r="B9" s="146" t="s">
        <v>3</v>
      </c>
      <c r="C9" s="146" t="s">
        <v>100</v>
      </c>
      <c r="D9" s="146">
        <v>2</v>
      </c>
      <c r="E9" s="146">
        <v>3</v>
      </c>
      <c r="F9" s="146" t="s">
        <v>101</v>
      </c>
      <c r="G9" s="146">
        <v>5</v>
      </c>
      <c r="H9" s="146">
        <v>6</v>
      </c>
      <c r="I9" s="146" t="s">
        <v>102</v>
      </c>
      <c r="J9" s="146" t="s">
        <v>103</v>
      </c>
      <c r="K9" s="146" t="s">
        <v>104</v>
      </c>
    </row>
    <row r="10" spans="1:14" s="154" customFormat="1" ht="19.5" customHeight="1" x14ac:dyDescent="0.25">
      <c r="A10" s="146"/>
      <c r="B10" s="11" t="s">
        <v>14</v>
      </c>
      <c r="C10" s="13">
        <f>C11+C31</f>
        <v>9527455</v>
      </c>
      <c r="D10" s="13">
        <f>D11+D31</f>
        <v>5673204</v>
      </c>
      <c r="E10" s="13">
        <f>E11+E31</f>
        <v>3854251</v>
      </c>
      <c r="F10" s="13">
        <f>G10+H10</f>
        <v>17679181</v>
      </c>
      <c r="G10" s="13">
        <f>G11+G31+G76+G77</f>
        <v>11035838</v>
      </c>
      <c r="H10" s="13">
        <f>H11+H31+H76+H77</f>
        <v>6643343</v>
      </c>
      <c r="I10" s="15">
        <f t="shared" ref="I10:K12" si="0">F10/C10*100</f>
        <v>185.56037262836719</v>
      </c>
      <c r="J10" s="15">
        <f t="shared" si="0"/>
        <v>194.52566838773998</v>
      </c>
      <c r="K10" s="15">
        <f t="shared" si="0"/>
        <v>172.36404686669343</v>
      </c>
      <c r="L10" s="155"/>
      <c r="N10" s="155"/>
    </row>
    <row r="11" spans="1:14" s="154" customFormat="1" ht="18" customHeight="1" x14ac:dyDescent="0.25">
      <c r="A11" s="146" t="s">
        <v>2</v>
      </c>
      <c r="B11" s="11" t="s">
        <v>83</v>
      </c>
      <c r="C11" s="13">
        <f>C12+C22+C28+C29+C27</f>
        <v>8293877</v>
      </c>
      <c r="D11" s="13">
        <f>D12+D22+D28+D29+D27</f>
        <v>4439626</v>
      </c>
      <c r="E11" s="13">
        <f>E12+E22+E28+E29</f>
        <v>3854251</v>
      </c>
      <c r="F11" s="13">
        <f>G11+H11</f>
        <v>9107387</v>
      </c>
      <c r="G11" s="13">
        <f>G12+G22+G27+G28</f>
        <v>4389330</v>
      </c>
      <c r="H11" s="13">
        <f>H12+H22+H27+H28</f>
        <v>4718057</v>
      </c>
      <c r="I11" s="15">
        <f t="shared" si="0"/>
        <v>109.80856118314752</v>
      </c>
      <c r="J11" s="15">
        <f t="shared" si="0"/>
        <v>98.867111779235458</v>
      </c>
      <c r="K11" s="15">
        <f t="shared" si="0"/>
        <v>122.41177338995305</v>
      </c>
    </row>
    <row r="12" spans="1:14" s="154" customFormat="1" ht="17.25" customHeight="1" x14ac:dyDescent="0.25">
      <c r="A12" s="146" t="s">
        <v>11</v>
      </c>
      <c r="B12" s="11" t="s">
        <v>66</v>
      </c>
      <c r="C12" s="13">
        <f>D12+E12</f>
        <v>2074762</v>
      </c>
      <c r="D12" s="13">
        <v>1808762</v>
      </c>
      <c r="E12" s="13">
        <v>266000</v>
      </c>
      <c r="F12" s="13">
        <f>G12+H12</f>
        <v>2712554</v>
      </c>
      <c r="G12" s="13">
        <f>2011125+29000</f>
        <v>2040125</v>
      </c>
      <c r="H12" s="13">
        <f>549345+123084</f>
        <v>672429</v>
      </c>
      <c r="I12" s="15">
        <f t="shared" si="0"/>
        <v>130.74048975255957</v>
      </c>
      <c r="J12" s="15">
        <f t="shared" si="0"/>
        <v>112.7912351099813</v>
      </c>
      <c r="K12" s="15">
        <f t="shared" si="0"/>
        <v>252.79285714285714</v>
      </c>
    </row>
    <row r="13" spans="1:14" s="154" customFormat="1" ht="15.75" hidden="1" x14ac:dyDescent="0.25">
      <c r="A13" s="42">
        <v>1</v>
      </c>
      <c r="B13" s="6" t="s">
        <v>84</v>
      </c>
      <c r="C13" s="12"/>
      <c r="D13" s="12"/>
      <c r="E13" s="12"/>
      <c r="F13" s="12"/>
      <c r="G13" s="12"/>
      <c r="H13" s="12"/>
      <c r="I13" s="12"/>
      <c r="J13" s="12"/>
      <c r="K13" s="12"/>
    </row>
    <row r="14" spans="1:14" s="154" customFormat="1" ht="15.75" hidden="1" x14ac:dyDescent="0.25">
      <c r="A14" s="42"/>
      <c r="B14" s="7" t="s">
        <v>85</v>
      </c>
      <c r="C14" s="12"/>
      <c r="D14" s="12"/>
      <c r="E14" s="12"/>
      <c r="F14" s="12"/>
      <c r="G14" s="12"/>
      <c r="H14" s="12"/>
      <c r="I14" s="12"/>
      <c r="J14" s="12"/>
      <c r="K14" s="12"/>
    </row>
    <row r="15" spans="1:14" s="154" customFormat="1" ht="15.75" hidden="1" x14ac:dyDescent="0.25">
      <c r="A15" s="42" t="s">
        <v>4</v>
      </c>
      <c r="B15" s="7" t="s">
        <v>86</v>
      </c>
      <c r="C15" s="12"/>
      <c r="D15" s="12"/>
      <c r="E15" s="12"/>
      <c r="F15" s="12"/>
      <c r="G15" s="12"/>
      <c r="H15" s="12"/>
      <c r="I15" s="12"/>
      <c r="J15" s="12"/>
      <c r="K15" s="12"/>
    </row>
    <row r="16" spans="1:14" s="154" customFormat="1" ht="15.75" hidden="1" x14ac:dyDescent="0.25">
      <c r="A16" s="42" t="s">
        <v>4</v>
      </c>
      <c r="B16" s="7" t="s">
        <v>87</v>
      </c>
      <c r="C16" s="12"/>
      <c r="D16" s="12"/>
      <c r="E16" s="12"/>
      <c r="F16" s="12"/>
      <c r="G16" s="12"/>
      <c r="H16" s="12"/>
      <c r="I16" s="12"/>
      <c r="J16" s="12"/>
      <c r="K16" s="12"/>
    </row>
    <row r="17" spans="1:14" s="154" customFormat="1" ht="15.75" hidden="1" x14ac:dyDescent="0.25">
      <c r="A17" s="42"/>
      <c r="B17" s="7" t="s">
        <v>88</v>
      </c>
      <c r="C17" s="12"/>
      <c r="D17" s="12"/>
      <c r="E17" s="12"/>
      <c r="F17" s="12"/>
      <c r="G17" s="12"/>
      <c r="H17" s="12"/>
      <c r="I17" s="12"/>
      <c r="J17" s="12"/>
      <c r="K17" s="12"/>
    </row>
    <row r="18" spans="1:14" s="154" customFormat="1" ht="25.5" hidden="1" customHeight="1" x14ac:dyDescent="0.25">
      <c r="A18" s="42" t="s">
        <v>4</v>
      </c>
      <c r="B18" s="7" t="s">
        <v>89</v>
      </c>
      <c r="C18" s="12"/>
      <c r="D18" s="12"/>
      <c r="E18" s="12"/>
      <c r="F18" s="12"/>
      <c r="G18" s="12"/>
      <c r="H18" s="12"/>
      <c r="I18" s="12"/>
      <c r="J18" s="12"/>
      <c r="K18" s="12"/>
    </row>
    <row r="19" spans="1:14" s="154" customFormat="1" ht="15.75" hidden="1" x14ac:dyDescent="0.25">
      <c r="A19" s="42" t="s">
        <v>4</v>
      </c>
      <c r="B19" s="7" t="s">
        <v>105</v>
      </c>
      <c r="C19" s="12"/>
      <c r="D19" s="12"/>
      <c r="E19" s="12"/>
      <c r="F19" s="12"/>
      <c r="G19" s="12"/>
      <c r="H19" s="12"/>
      <c r="I19" s="12"/>
      <c r="J19" s="12"/>
      <c r="K19" s="12"/>
    </row>
    <row r="20" spans="1:14" s="154" customFormat="1" ht="47.25" hidden="1" x14ac:dyDescent="0.25">
      <c r="A20" s="42">
        <v>2</v>
      </c>
      <c r="B20" s="6" t="s">
        <v>90</v>
      </c>
      <c r="C20" s="12"/>
      <c r="D20" s="12"/>
      <c r="E20" s="12"/>
      <c r="F20" s="12"/>
      <c r="G20" s="12"/>
      <c r="H20" s="12"/>
      <c r="I20" s="12"/>
      <c r="J20" s="12"/>
      <c r="K20" s="12"/>
    </row>
    <row r="21" spans="1:14" s="154" customFormat="1" ht="15.75" hidden="1" x14ac:dyDescent="0.25">
      <c r="A21" s="42">
        <v>3</v>
      </c>
      <c r="B21" s="6" t="s">
        <v>91</v>
      </c>
      <c r="C21" s="12"/>
      <c r="D21" s="12"/>
      <c r="E21" s="12"/>
      <c r="F21" s="12"/>
      <c r="G21" s="12"/>
      <c r="H21" s="12"/>
      <c r="I21" s="12"/>
      <c r="J21" s="12"/>
      <c r="K21" s="12"/>
    </row>
    <row r="22" spans="1:14" s="154" customFormat="1" ht="18.75" customHeight="1" x14ac:dyDescent="0.25">
      <c r="A22" s="146" t="s">
        <v>7</v>
      </c>
      <c r="B22" s="11" t="s">
        <v>15</v>
      </c>
      <c r="C22" s="13">
        <f>D22+E22</f>
        <v>6057924</v>
      </c>
      <c r="D22" s="13">
        <v>2545247</v>
      </c>
      <c r="E22" s="13">
        <v>3512677</v>
      </c>
      <c r="F22" s="13">
        <f>G22+H22</f>
        <v>6393100</v>
      </c>
      <c r="G22" s="13">
        <v>2347472</v>
      </c>
      <c r="H22" s="13">
        <f>3237158+808470</f>
        <v>4045628</v>
      </c>
      <c r="I22" s="15">
        <f>F22/C22*100</f>
        <v>105.53285250854914</v>
      </c>
      <c r="J22" s="15">
        <f>G22/D22*100</f>
        <v>92.22963429482482</v>
      </c>
      <c r="K22" s="15">
        <f>H22/E22*100</f>
        <v>115.17221765622058</v>
      </c>
      <c r="N22" s="155"/>
    </row>
    <row r="23" spans="1:14" s="154" customFormat="1" ht="15.75" x14ac:dyDescent="0.25">
      <c r="A23" s="42"/>
      <c r="B23" s="7" t="s">
        <v>26</v>
      </c>
      <c r="C23" s="12"/>
      <c r="D23" s="12"/>
      <c r="E23" s="12"/>
      <c r="F23" s="12"/>
      <c r="G23" s="12"/>
      <c r="H23" s="12"/>
      <c r="I23" s="12"/>
      <c r="J23" s="12"/>
      <c r="K23" s="12"/>
      <c r="L23" s="155"/>
    </row>
    <row r="24" spans="1:14" s="154" customFormat="1" ht="15.75" x14ac:dyDescent="0.25">
      <c r="A24" s="47">
        <v>1</v>
      </c>
      <c r="B24" s="7" t="s">
        <v>86</v>
      </c>
      <c r="C24" s="31">
        <f>D24+E24</f>
        <v>2618835</v>
      </c>
      <c r="D24" s="31">
        <v>554018</v>
      </c>
      <c r="E24" s="31">
        <v>2064817</v>
      </c>
      <c r="F24" s="22">
        <f>G24+H24</f>
        <v>2691332</v>
      </c>
      <c r="G24" s="22">
        <v>417641</v>
      </c>
      <c r="H24" s="22">
        <v>2273691</v>
      </c>
      <c r="I24" s="18">
        <f>F24/C24*100</f>
        <v>102.76829200770572</v>
      </c>
      <c r="J24" s="18">
        <f>G24/D24*100</f>
        <v>75.384012793808139</v>
      </c>
      <c r="K24" s="18">
        <f>H24/E24*100</f>
        <v>110.11586014644396</v>
      </c>
    </row>
    <row r="25" spans="1:14" s="154" customFormat="1" ht="15.75" x14ac:dyDescent="0.25">
      <c r="A25" s="47">
        <v>2</v>
      </c>
      <c r="B25" s="7" t="s">
        <v>87</v>
      </c>
      <c r="C25" s="31">
        <f>D25+E25</f>
        <v>20723</v>
      </c>
      <c r="D25" s="31">
        <v>20723</v>
      </c>
      <c r="E25" s="27"/>
      <c r="F25" s="22">
        <f t="shared" ref="F25:F26" si="1">G25+H25</f>
        <v>10067</v>
      </c>
      <c r="G25" s="22">
        <v>9144</v>
      </c>
      <c r="H25" s="22">
        <v>923</v>
      </c>
      <c r="I25" s="18">
        <f t="shared" ref="I25:I26" si="2">F25/C25*100</f>
        <v>48.578873715195677</v>
      </c>
      <c r="J25" s="18">
        <f t="shared" ref="J25:J26" si="3">G25/D25*100</f>
        <v>44.124885393041545</v>
      </c>
      <c r="K25" s="18"/>
    </row>
    <row r="26" spans="1:14" s="154" customFormat="1" ht="15.75" x14ac:dyDescent="0.25">
      <c r="A26" s="47">
        <v>3</v>
      </c>
      <c r="B26" s="7" t="s">
        <v>113</v>
      </c>
      <c r="C26" s="31">
        <f>D26+E26</f>
        <v>188120</v>
      </c>
      <c r="D26" s="31">
        <v>52456</v>
      </c>
      <c r="E26" s="91">
        <v>135664</v>
      </c>
      <c r="F26" s="22">
        <f t="shared" si="1"/>
        <v>113346</v>
      </c>
      <c r="G26" s="22">
        <v>21963</v>
      </c>
      <c r="H26" s="22">
        <v>91383</v>
      </c>
      <c r="I26" s="18">
        <f t="shared" si="2"/>
        <v>60.251966829683177</v>
      </c>
      <c r="J26" s="18">
        <f t="shared" si="3"/>
        <v>41.86937623913375</v>
      </c>
      <c r="K26" s="18">
        <f t="shared" ref="K26" si="4">H26/E26*100</f>
        <v>67.359800684042924</v>
      </c>
    </row>
    <row r="27" spans="1:14" s="154" customFormat="1" ht="21" customHeight="1" x14ac:dyDescent="0.25">
      <c r="A27" s="146" t="s">
        <v>8</v>
      </c>
      <c r="B27" s="11" t="s">
        <v>16</v>
      </c>
      <c r="C27" s="13">
        <f>D27</f>
        <v>1200</v>
      </c>
      <c r="D27" s="33">
        <v>1200</v>
      </c>
      <c r="E27" s="12"/>
      <c r="F27" s="13">
        <f>G27+H27</f>
        <v>733</v>
      </c>
      <c r="G27" s="13">
        <v>733</v>
      </c>
      <c r="H27" s="12"/>
      <c r="I27" s="12"/>
      <c r="J27" s="12"/>
      <c r="K27" s="12"/>
    </row>
    <row r="28" spans="1:14" s="154" customFormat="1" ht="15.75" x14ac:dyDescent="0.25">
      <c r="A28" s="146" t="s">
        <v>9</v>
      </c>
      <c r="B28" s="11" t="s">
        <v>37</v>
      </c>
      <c r="C28" s="13">
        <v>1000</v>
      </c>
      <c r="D28" s="13">
        <v>1000</v>
      </c>
      <c r="E28" s="12"/>
      <c r="F28" s="33">
        <f>G28+H28</f>
        <v>1000</v>
      </c>
      <c r="G28" s="33">
        <v>1000</v>
      </c>
      <c r="H28" s="12"/>
      <c r="I28" s="12"/>
      <c r="J28" s="12"/>
      <c r="K28" s="12"/>
    </row>
    <row r="29" spans="1:14" s="154" customFormat="1" ht="15.75" x14ac:dyDescent="0.25">
      <c r="A29" s="146" t="s">
        <v>23</v>
      </c>
      <c r="B29" s="11" t="s">
        <v>38</v>
      </c>
      <c r="C29" s="13">
        <f>D29+E29</f>
        <v>158991</v>
      </c>
      <c r="D29" s="13">
        <v>83417</v>
      </c>
      <c r="E29" s="13">
        <v>75574</v>
      </c>
      <c r="F29" s="13"/>
      <c r="G29" s="12"/>
      <c r="H29" s="12"/>
      <c r="I29" s="12"/>
      <c r="J29" s="12"/>
      <c r="K29" s="12"/>
    </row>
    <row r="30" spans="1:14" s="154" customFormat="1" ht="15.75" x14ac:dyDescent="0.25">
      <c r="A30" s="146" t="s">
        <v>92</v>
      </c>
      <c r="B30" s="11" t="s">
        <v>17</v>
      </c>
      <c r="C30" s="13"/>
      <c r="D30" s="13"/>
      <c r="E30" s="12"/>
      <c r="F30" s="12"/>
      <c r="G30" s="12"/>
      <c r="H30" s="12"/>
      <c r="I30" s="12"/>
      <c r="J30" s="12"/>
      <c r="K30" s="12"/>
    </row>
    <row r="31" spans="1:14" s="154" customFormat="1" ht="22.5" customHeight="1" x14ac:dyDescent="0.25">
      <c r="A31" s="146" t="s">
        <v>3</v>
      </c>
      <c r="B31" s="11" t="s">
        <v>93</v>
      </c>
      <c r="C31" s="13">
        <v>1233578</v>
      </c>
      <c r="D31" s="13">
        <v>1233578</v>
      </c>
      <c r="E31" s="12"/>
      <c r="F31" s="13">
        <f t="shared" ref="F31:F35" si="5">G31+H31</f>
        <v>1447384</v>
      </c>
      <c r="G31" s="13">
        <f>G32+G38</f>
        <v>1153896</v>
      </c>
      <c r="H31" s="13">
        <f>H32+H38</f>
        <v>293488</v>
      </c>
      <c r="I31" s="15">
        <f>F31/C31*100</f>
        <v>117.33218329120656</v>
      </c>
      <c r="J31" s="15">
        <f>G31/D31*100</f>
        <v>93.540578706818707</v>
      </c>
      <c r="K31" s="12"/>
    </row>
    <row r="32" spans="1:14" s="154" customFormat="1" ht="18.75" customHeight="1" x14ac:dyDescent="0.25">
      <c r="A32" s="146" t="s">
        <v>11</v>
      </c>
      <c r="B32" s="11" t="s">
        <v>40</v>
      </c>
      <c r="C32" s="13">
        <f>D32+E32</f>
        <v>149525</v>
      </c>
      <c r="D32" s="13">
        <f>D33+D34</f>
        <v>149525</v>
      </c>
      <c r="E32" s="12"/>
      <c r="F32" s="13">
        <f>G32+H32</f>
        <v>232332</v>
      </c>
      <c r="G32" s="13">
        <f>G33+G34</f>
        <v>59223</v>
      </c>
      <c r="H32" s="13">
        <f>H33+H34</f>
        <v>173109</v>
      </c>
      <c r="I32" s="15"/>
      <c r="J32" s="15"/>
      <c r="K32" s="12"/>
    </row>
    <row r="33" spans="1:11" s="154" customFormat="1" ht="18" customHeight="1" x14ac:dyDescent="0.25">
      <c r="A33" s="47">
        <v>1</v>
      </c>
      <c r="B33" s="46" t="s">
        <v>265</v>
      </c>
      <c r="C33" s="31">
        <f>D33+E33</f>
        <v>25525</v>
      </c>
      <c r="D33" s="32">
        <v>25525</v>
      </c>
      <c r="E33" s="12"/>
      <c r="F33" s="12">
        <f>G33+H33</f>
        <v>27332</v>
      </c>
      <c r="G33" s="12">
        <v>8325</v>
      </c>
      <c r="H33" s="12">
        <v>19007</v>
      </c>
      <c r="I33" s="12"/>
      <c r="J33" s="12"/>
      <c r="K33" s="12"/>
    </row>
    <row r="34" spans="1:11" s="154" customFormat="1" ht="18" customHeight="1" x14ac:dyDescent="0.25">
      <c r="A34" s="47">
        <v>2</v>
      </c>
      <c r="B34" s="46" t="s">
        <v>264</v>
      </c>
      <c r="C34" s="31">
        <f>D34+E34</f>
        <v>124000</v>
      </c>
      <c r="D34" s="32">
        <v>124000</v>
      </c>
      <c r="E34" s="12"/>
      <c r="F34" s="12">
        <f>G34+H34</f>
        <v>205000</v>
      </c>
      <c r="G34" s="12">
        <v>50898</v>
      </c>
      <c r="H34" s="12">
        <v>154102</v>
      </c>
      <c r="I34" s="12"/>
      <c r="J34" s="12"/>
      <c r="K34" s="12"/>
    </row>
    <row r="35" spans="1:11" s="154" customFormat="1" ht="15.75" hidden="1" customHeight="1" x14ac:dyDescent="0.25">
      <c r="A35" s="47">
        <v>3</v>
      </c>
      <c r="B35" s="89" t="s">
        <v>266</v>
      </c>
      <c r="C35" s="13"/>
      <c r="D35" s="14"/>
      <c r="E35" s="12"/>
      <c r="F35" s="12">
        <f t="shared" si="5"/>
        <v>360</v>
      </c>
      <c r="G35" s="12">
        <v>360</v>
      </c>
      <c r="H35" s="12"/>
      <c r="I35" s="12"/>
      <c r="J35" s="12"/>
      <c r="K35" s="12"/>
    </row>
    <row r="36" spans="1:11" s="154" customFormat="1" ht="20.25" hidden="1" customHeight="1" x14ac:dyDescent="0.25">
      <c r="A36" s="47">
        <v>4</v>
      </c>
      <c r="B36" s="89" t="s">
        <v>474</v>
      </c>
      <c r="C36" s="13"/>
      <c r="D36" s="12"/>
      <c r="E36" s="12"/>
      <c r="F36" s="12">
        <f t="shared" ref="F36:F37" si="6">G36+H36</f>
        <v>73</v>
      </c>
      <c r="G36" s="12">
        <v>73</v>
      </c>
      <c r="H36" s="12"/>
      <c r="I36" s="12"/>
      <c r="J36" s="12"/>
      <c r="K36" s="12"/>
    </row>
    <row r="37" spans="1:11" s="154" customFormat="1" ht="17.25" hidden="1" customHeight="1" x14ac:dyDescent="0.25">
      <c r="A37" s="47">
        <v>5</v>
      </c>
      <c r="B37" s="89" t="s">
        <v>281</v>
      </c>
      <c r="C37" s="13"/>
      <c r="D37" s="12"/>
      <c r="E37" s="12"/>
      <c r="F37" s="12">
        <f t="shared" si="6"/>
        <v>90</v>
      </c>
      <c r="G37" s="12">
        <v>90</v>
      </c>
      <c r="H37" s="12"/>
      <c r="I37" s="12"/>
      <c r="J37" s="12"/>
      <c r="K37" s="12"/>
    </row>
    <row r="38" spans="1:11" s="154" customFormat="1" ht="27.75" customHeight="1" x14ac:dyDescent="0.25">
      <c r="A38" s="146" t="s">
        <v>7</v>
      </c>
      <c r="B38" s="11" t="s">
        <v>41</v>
      </c>
      <c r="C38" s="13">
        <f>1233578-149525</f>
        <v>1084053</v>
      </c>
      <c r="D38" s="13">
        <v>1084053</v>
      </c>
      <c r="E38" s="12"/>
      <c r="F38" s="13">
        <f t="shared" ref="F38:F46" si="7">G38+H38</f>
        <v>1215052</v>
      </c>
      <c r="G38" s="13">
        <f>SUM(G39:G75)</f>
        <v>1094673</v>
      </c>
      <c r="H38" s="13">
        <f>SUM(H39:H75)</f>
        <v>120379</v>
      </c>
      <c r="I38" s="15">
        <f>F38/C38*100</f>
        <v>112.08418776572732</v>
      </c>
      <c r="J38" s="15">
        <f>G38/D38*100</f>
        <v>100.97965689869406</v>
      </c>
      <c r="K38" s="12"/>
    </row>
    <row r="39" spans="1:11" s="154" customFormat="1" ht="24.75" customHeight="1" x14ac:dyDescent="0.25">
      <c r="A39" s="47">
        <v>1</v>
      </c>
      <c r="B39" s="46" t="s">
        <v>475</v>
      </c>
      <c r="C39" s="12"/>
      <c r="D39" s="12"/>
      <c r="E39" s="12"/>
      <c r="F39" s="97">
        <f t="shared" si="7"/>
        <v>94606</v>
      </c>
      <c r="G39" s="97">
        <v>94606</v>
      </c>
      <c r="H39" s="97"/>
      <c r="I39" s="97"/>
      <c r="J39" s="97"/>
      <c r="K39" s="12"/>
    </row>
    <row r="40" spans="1:11" s="154" customFormat="1" ht="24.75" customHeight="1" x14ac:dyDescent="0.25">
      <c r="A40" s="47">
        <v>2</v>
      </c>
      <c r="B40" s="46" t="s">
        <v>476</v>
      </c>
      <c r="C40" s="12"/>
      <c r="D40" s="12"/>
      <c r="E40" s="12"/>
      <c r="F40" s="97">
        <f t="shared" si="7"/>
        <v>35725</v>
      </c>
      <c r="G40" s="97">
        <v>35725</v>
      </c>
      <c r="H40" s="97"/>
      <c r="I40" s="97"/>
      <c r="J40" s="97"/>
      <c r="K40" s="12"/>
    </row>
    <row r="41" spans="1:11" s="154" customFormat="1" ht="39" customHeight="1" x14ac:dyDescent="0.25">
      <c r="A41" s="47">
        <v>3</v>
      </c>
      <c r="B41" s="88" t="s">
        <v>267</v>
      </c>
      <c r="C41" s="12"/>
      <c r="D41" s="12"/>
      <c r="E41" s="12"/>
      <c r="F41" s="97">
        <f t="shared" si="7"/>
        <v>10700</v>
      </c>
      <c r="G41" s="97">
        <v>10700</v>
      </c>
      <c r="H41" s="97"/>
      <c r="I41" s="97"/>
      <c r="J41" s="97"/>
      <c r="K41" s="12"/>
    </row>
    <row r="42" spans="1:11" s="154" customFormat="1" ht="21" customHeight="1" x14ac:dyDescent="0.25">
      <c r="A42" s="47">
        <v>4</v>
      </c>
      <c r="B42" s="88" t="s">
        <v>511</v>
      </c>
      <c r="C42" s="12"/>
      <c r="D42" s="12"/>
      <c r="E42" s="12"/>
      <c r="F42" s="97">
        <f t="shared" si="7"/>
        <v>12516</v>
      </c>
      <c r="G42" s="97">
        <v>12516</v>
      </c>
      <c r="H42" s="97"/>
      <c r="I42" s="97"/>
      <c r="J42" s="97"/>
      <c r="K42" s="12"/>
    </row>
    <row r="43" spans="1:11" s="154" customFormat="1" ht="21" customHeight="1" x14ac:dyDescent="0.25">
      <c r="A43" s="47">
        <v>5</v>
      </c>
      <c r="B43" s="88" t="s">
        <v>270</v>
      </c>
      <c r="C43" s="12"/>
      <c r="D43" s="12"/>
      <c r="E43" s="12"/>
      <c r="F43" s="97">
        <f t="shared" si="7"/>
        <v>101752</v>
      </c>
      <c r="G43" s="97">
        <v>101752</v>
      </c>
      <c r="H43" s="97"/>
      <c r="I43" s="97"/>
      <c r="J43" s="97"/>
      <c r="K43" s="12"/>
    </row>
    <row r="44" spans="1:11" s="154" customFormat="1" ht="41.25" customHeight="1" x14ac:dyDescent="0.25">
      <c r="A44" s="47">
        <v>6</v>
      </c>
      <c r="B44" s="46" t="s">
        <v>509</v>
      </c>
      <c r="C44" s="12"/>
      <c r="D44" s="12"/>
      <c r="E44" s="12"/>
      <c r="F44" s="97">
        <f t="shared" si="7"/>
        <v>184689</v>
      </c>
      <c r="G44" s="97">
        <v>184689</v>
      </c>
      <c r="H44" s="97"/>
      <c r="I44" s="97"/>
      <c r="J44" s="97"/>
      <c r="K44" s="12"/>
    </row>
    <row r="45" spans="1:11" s="163" customFormat="1" ht="18.75" customHeight="1" x14ac:dyDescent="0.25">
      <c r="A45" s="160">
        <v>7</v>
      </c>
      <c r="B45" s="161" t="s">
        <v>510</v>
      </c>
      <c r="C45" s="162"/>
      <c r="D45" s="162"/>
      <c r="E45" s="162"/>
      <c r="F45" s="162">
        <f t="shared" si="7"/>
        <v>9260</v>
      </c>
      <c r="G45" s="162">
        <v>9260</v>
      </c>
      <c r="H45" s="162"/>
      <c r="I45" s="162"/>
      <c r="J45" s="162"/>
      <c r="K45" s="162"/>
    </row>
    <row r="46" spans="1:11" s="154" customFormat="1" ht="18.75" customHeight="1" x14ac:dyDescent="0.25">
      <c r="A46" s="47">
        <v>8</v>
      </c>
      <c r="B46" s="46" t="s">
        <v>269</v>
      </c>
      <c r="C46" s="12"/>
      <c r="D46" s="12"/>
      <c r="E46" s="12"/>
      <c r="F46" s="97">
        <f t="shared" si="7"/>
        <v>117317</v>
      </c>
      <c r="G46" s="97">
        <v>117317</v>
      </c>
      <c r="H46" s="97"/>
      <c r="I46" s="97"/>
      <c r="J46" s="97"/>
      <c r="K46" s="12"/>
    </row>
    <row r="47" spans="1:11" s="154" customFormat="1" ht="18.75" customHeight="1" x14ac:dyDescent="0.25">
      <c r="A47" s="47">
        <v>9</v>
      </c>
      <c r="B47" s="46" t="s">
        <v>512</v>
      </c>
      <c r="C47" s="12"/>
      <c r="D47" s="12"/>
      <c r="E47" s="12"/>
      <c r="F47" s="97">
        <f>G47+H47</f>
        <v>5678</v>
      </c>
      <c r="G47" s="97">
        <v>1299</v>
      </c>
      <c r="H47" s="97">
        <v>4379</v>
      </c>
      <c r="I47" s="97"/>
      <c r="J47" s="97"/>
      <c r="K47" s="12"/>
    </row>
    <row r="48" spans="1:11" s="154" customFormat="1" ht="37.5" customHeight="1" x14ac:dyDescent="0.25">
      <c r="A48" s="47">
        <v>10</v>
      </c>
      <c r="B48" s="46" t="s">
        <v>513</v>
      </c>
      <c r="C48" s="12"/>
      <c r="D48" s="12"/>
      <c r="E48" s="12"/>
      <c r="F48" s="97">
        <f>G48+H48</f>
        <v>4696</v>
      </c>
      <c r="G48" s="97">
        <v>4696</v>
      </c>
      <c r="H48" s="97"/>
      <c r="I48" s="97"/>
      <c r="J48" s="97"/>
      <c r="K48" s="12"/>
    </row>
    <row r="49" spans="1:11" s="154" customFormat="1" ht="51.75" customHeight="1" x14ac:dyDescent="0.25">
      <c r="A49" s="47">
        <v>11</v>
      </c>
      <c r="B49" s="46" t="s">
        <v>572</v>
      </c>
      <c r="C49" s="12"/>
      <c r="D49" s="12"/>
      <c r="E49" s="12"/>
      <c r="F49" s="97">
        <f t="shared" ref="F49:F75" si="8">G49+H49</f>
        <v>1225</v>
      </c>
      <c r="G49" s="97">
        <v>1225</v>
      </c>
      <c r="H49" s="97"/>
      <c r="I49" s="97"/>
      <c r="J49" s="97"/>
      <c r="K49" s="12"/>
    </row>
    <row r="50" spans="1:11" s="154" customFormat="1" ht="22.5" customHeight="1" x14ac:dyDescent="0.25">
      <c r="A50" s="47">
        <v>12</v>
      </c>
      <c r="B50" s="46" t="s">
        <v>573</v>
      </c>
      <c r="C50" s="12"/>
      <c r="D50" s="12"/>
      <c r="E50" s="12"/>
      <c r="F50" s="97">
        <f t="shared" si="8"/>
        <v>1844</v>
      </c>
      <c r="G50" s="97">
        <v>1844</v>
      </c>
      <c r="H50" s="97"/>
      <c r="I50" s="97"/>
      <c r="J50" s="97"/>
      <c r="K50" s="12"/>
    </row>
    <row r="51" spans="1:11" s="154" customFormat="1" ht="19.5" customHeight="1" x14ac:dyDescent="0.25">
      <c r="A51" s="47">
        <v>13</v>
      </c>
      <c r="B51" s="46" t="s">
        <v>514</v>
      </c>
      <c r="C51" s="12"/>
      <c r="D51" s="12"/>
      <c r="E51" s="12"/>
      <c r="F51" s="97">
        <f t="shared" si="8"/>
        <v>171461</v>
      </c>
      <c r="G51" s="97">
        <v>171461</v>
      </c>
      <c r="H51" s="97"/>
      <c r="I51" s="97"/>
      <c r="J51" s="97"/>
      <c r="K51" s="12"/>
    </row>
    <row r="52" spans="1:11" s="154" customFormat="1" ht="18.75" customHeight="1" x14ac:dyDescent="0.25">
      <c r="A52" s="47">
        <v>14</v>
      </c>
      <c r="B52" s="46" t="s">
        <v>271</v>
      </c>
      <c r="C52" s="12"/>
      <c r="D52" s="12"/>
      <c r="E52" s="12"/>
      <c r="F52" s="97">
        <f t="shared" si="8"/>
        <v>1444</v>
      </c>
      <c r="G52" s="97">
        <v>1444</v>
      </c>
      <c r="H52" s="97"/>
      <c r="I52" s="97"/>
      <c r="J52" s="97"/>
      <c r="K52" s="12"/>
    </row>
    <row r="53" spans="1:11" s="154" customFormat="1" ht="18.75" customHeight="1" x14ac:dyDescent="0.25">
      <c r="A53" s="47">
        <v>15</v>
      </c>
      <c r="B53" s="46" t="s">
        <v>515</v>
      </c>
      <c r="C53" s="12"/>
      <c r="D53" s="12"/>
      <c r="E53" s="12"/>
      <c r="F53" s="97">
        <f t="shared" si="8"/>
        <v>16</v>
      </c>
      <c r="G53" s="97">
        <v>16</v>
      </c>
      <c r="H53" s="97"/>
      <c r="I53" s="97"/>
      <c r="J53" s="97"/>
      <c r="K53" s="12"/>
    </row>
    <row r="54" spans="1:11" s="154" customFormat="1" ht="21.75" customHeight="1" x14ac:dyDescent="0.25">
      <c r="A54" s="47">
        <v>16</v>
      </c>
      <c r="B54" s="46" t="s">
        <v>574</v>
      </c>
      <c r="C54" s="12"/>
      <c r="D54" s="12"/>
      <c r="E54" s="12"/>
      <c r="F54" s="97">
        <f t="shared" si="8"/>
        <v>30</v>
      </c>
      <c r="G54" s="97">
        <v>30</v>
      </c>
      <c r="H54" s="97"/>
      <c r="I54" s="97"/>
      <c r="J54" s="97"/>
      <c r="K54" s="12"/>
    </row>
    <row r="55" spans="1:11" s="154" customFormat="1" ht="22.5" customHeight="1" x14ac:dyDescent="0.25">
      <c r="A55" s="47">
        <v>17</v>
      </c>
      <c r="B55" s="46" t="s">
        <v>477</v>
      </c>
      <c r="C55" s="12"/>
      <c r="D55" s="12"/>
      <c r="E55" s="12"/>
      <c r="F55" s="97">
        <f t="shared" si="8"/>
        <v>416</v>
      </c>
      <c r="G55" s="97">
        <v>416</v>
      </c>
      <c r="H55" s="97"/>
      <c r="I55" s="97"/>
      <c r="J55" s="97"/>
      <c r="K55" s="12"/>
    </row>
    <row r="56" spans="1:11" s="154" customFormat="1" ht="23.25" customHeight="1" x14ac:dyDescent="0.25">
      <c r="A56" s="47">
        <v>18</v>
      </c>
      <c r="B56" s="49" t="s">
        <v>478</v>
      </c>
      <c r="C56" s="12"/>
      <c r="D56" s="12"/>
      <c r="E56" s="12"/>
      <c r="F56" s="97">
        <f t="shared" si="8"/>
        <v>98</v>
      </c>
      <c r="G56" s="97">
        <v>98</v>
      </c>
      <c r="H56" s="97"/>
      <c r="I56" s="97"/>
      <c r="J56" s="97"/>
      <c r="K56" s="12"/>
    </row>
    <row r="57" spans="1:11" s="154" customFormat="1" ht="24.75" customHeight="1" x14ac:dyDescent="0.25">
      <c r="A57" s="47">
        <v>19</v>
      </c>
      <c r="B57" s="49" t="s">
        <v>516</v>
      </c>
      <c r="C57" s="12"/>
      <c r="D57" s="12"/>
      <c r="E57" s="12"/>
      <c r="F57" s="97">
        <f t="shared" si="8"/>
        <v>14</v>
      </c>
      <c r="G57" s="97">
        <v>14</v>
      </c>
      <c r="H57" s="97"/>
      <c r="I57" s="97"/>
      <c r="J57" s="97"/>
      <c r="K57" s="12"/>
    </row>
    <row r="58" spans="1:11" s="154" customFormat="1" ht="23.25" customHeight="1" x14ac:dyDescent="0.25">
      <c r="A58" s="47">
        <v>20</v>
      </c>
      <c r="B58" s="48" t="s">
        <v>479</v>
      </c>
      <c r="C58" s="12"/>
      <c r="D58" s="12"/>
      <c r="E58" s="12"/>
      <c r="F58" s="97">
        <f t="shared" si="8"/>
        <v>18154</v>
      </c>
      <c r="G58" s="97">
        <v>18154</v>
      </c>
      <c r="H58" s="97"/>
      <c r="I58" s="97"/>
      <c r="J58" s="97"/>
      <c r="K58" s="12"/>
    </row>
    <row r="59" spans="1:11" s="154" customFormat="1" ht="34.5" customHeight="1" x14ac:dyDescent="0.25">
      <c r="A59" s="47">
        <v>21</v>
      </c>
      <c r="B59" s="46" t="s">
        <v>268</v>
      </c>
      <c r="C59" s="12"/>
      <c r="D59" s="12"/>
      <c r="E59" s="12"/>
      <c r="F59" s="97">
        <f t="shared" si="8"/>
        <v>10099</v>
      </c>
      <c r="G59" s="97">
        <v>10099</v>
      </c>
      <c r="H59" s="97"/>
      <c r="I59" s="97"/>
      <c r="J59" s="97"/>
      <c r="K59" s="12"/>
    </row>
    <row r="60" spans="1:11" s="154" customFormat="1" ht="27" customHeight="1" x14ac:dyDescent="0.25">
      <c r="A60" s="47">
        <v>22</v>
      </c>
      <c r="B60" s="46" t="s">
        <v>480</v>
      </c>
      <c r="C60" s="12"/>
      <c r="D60" s="12"/>
      <c r="E60" s="12"/>
      <c r="F60" s="97">
        <f t="shared" si="8"/>
        <v>5583</v>
      </c>
      <c r="G60" s="97">
        <v>5411</v>
      </c>
      <c r="H60" s="97">
        <v>172</v>
      </c>
      <c r="I60" s="97"/>
      <c r="J60" s="97"/>
      <c r="K60" s="12"/>
    </row>
    <row r="61" spans="1:11" s="154" customFormat="1" ht="19.5" customHeight="1" x14ac:dyDescent="0.25">
      <c r="A61" s="47">
        <v>23</v>
      </c>
      <c r="B61" s="46" t="s">
        <v>487</v>
      </c>
      <c r="C61" s="12"/>
      <c r="D61" s="12"/>
      <c r="E61" s="12"/>
      <c r="F61" s="97">
        <f t="shared" si="8"/>
        <v>2455</v>
      </c>
      <c r="G61" s="97">
        <v>2455</v>
      </c>
      <c r="H61" s="97"/>
      <c r="I61" s="97"/>
      <c r="J61" s="97"/>
      <c r="K61" s="12"/>
    </row>
    <row r="62" spans="1:11" s="154" customFormat="1" ht="25.5" customHeight="1" x14ac:dyDescent="0.25">
      <c r="A62" s="47">
        <v>24</v>
      </c>
      <c r="B62" s="46" t="s">
        <v>481</v>
      </c>
      <c r="C62" s="12"/>
      <c r="D62" s="12"/>
      <c r="E62" s="12"/>
      <c r="F62" s="97">
        <f t="shared" si="8"/>
        <v>1674</v>
      </c>
      <c r="G62" s="97">
        <v>1674</v>
      </c>
      <c r="H62" s="97"/>
      <c r="I62" s="97"/>
      <c r="J62" s="97"/>
      <c r="K62" s="12"/>
    </row>
    <row r="63" spans="1:11" s="154" customFormat="1" ht="30.75" customHeight="1" x14ac:dyDescent="0.25">
      <c r="A63" s="47">
        <v>25</v>
      </c>
      <c r="B63" s="46" t="s">
        <v>489</v>
      </c>
      <c r="C63" s="12"/>
      <c r="D63" s="12"/>
      <c r="E63" s="12"/>
      <c r="F63" s="97">
        <f t="shared" si="8"/>
        <v>300</v>
      </c>
      <c r="G63" s="97">
        <v>300</v>
      </c>
      <c r="H63" s="97"/>
      <c r="I63" s="97"/>
      <c r="J63" s="97"/>
      <c r="K63" s="12"/>
    </row>
    <row r="64" spans="1:11" s="154" customFormat="1" ht="26.25" customHeight="1" x14ac:dyDescent="0.25">
      <c r="A64" s="47">
        <v>26</v>
      </c>
      <c r="B64" s="46" t="s">
        <v>522</v>
      </c>
      <c r="C64" s="12"/>
      <c r="D64" s="12"/>
      <c r="E64" s="12"/>
      <c r="F64" s="97">
        <f t="shared" si="8"/>
        <v>33582</v>
      </c>
      <c r="G64" s="97">
        <v>33562</v>
      </c>
      <c r="H64" s="97">
        <v>20</v>
      </c>
      <c r="I64" s="97"/>
      <c r="J64" s="97"/>
      <c r="K64" s="12"/>
    </row>
    <row r="65" spans="1:11" s="154" customFormat="1" ht="36.75" customHeight="1" x14ac:dyDescent="0.25">
      <c r="A65" s="47">
        <v>27</v>
      </c>
      <c r="B65" s="46" t="s">
        <v>488</v>
      </c>
      <c r="C65" s="12"/>
      <c r="D65" s="12"/>
      <c r="E65" s="12"/>
      <c r="F65" s="97">
        <f t="shared" si="8"/>
        <v>1940</v>
      </c>
      <c r="G65" s="97">
        <v>1940</v>
      </c>
      <c r="H65" s="97"/>
      <c r="I65" s="97"/>
      <c r="J65" s="97"/>
      <c r="K65" s="12"/>
    </row>
    <row r="66" spans="1:11" s="154" customFormat="1" ht="25.5" customHeight="1" x14ac:dyDescent="0.25">
      <c r="A66" s="47">
        <v>28</v>
      </c>
      <c r="B66" s="46" t="s">
        <v>486</v>
      </c>
      <c r="C66" s="12"/>
      <c r="D66" s="12"/>
      <c r="E66" s="12"/>
      <c r="F66" s="97">
        <f t="shared" si="8"/>
        <v>45526</v>
      </c>
      <c r="G66" s="97">
        <v>45526</v>
      </c>
      <c r="H66" s="97"/>
      <c r="I66" s="97"/>
      <c r="J66" s="97"/>
      <c r="K66" s="12"/>
    </row>
    <row r="67" spans="1:11" s="154" customFormat="1" ht="33.75" customHeight="1" x14ac:dyDescent="0.25">
      <c r="A67" s="47">
        <v>29</v>
      </c>
      <c r="B67" s="46" t="s">
        <v>518</v>
      </c>
      <c r="C67" s="12"/>
      <c r="D67" s="12"/>
      <c r="E67" s="12"/>
      <c r="F67" s="97">
        <f t="shared" si="8"/>
        <v>6806</v>
      </c>
      <c r="G67" s="97"/>
      <c r="H67" s="97">
        <v>6806</v>
      </c>
      <c r="I67" s="97"/>
      <c r="J67" s="97"/>
      <c r="K67" s="12"/>
    </row>
    <row r="68" spans="1:11" s="154" customFormat="1" ht="35.25" customHeight="1" x14ac:dyDescent="0.25">
      <c r="A68" s="47">
        <v>30</v>
      </c>
      <c r="B68" s="46" t="s">
        <v>519</v>
      </c>
      <c r="C68" s="12"/>
      <c r="D68" s="12"/>
      <c r="E68" s="12"/>
      <c r="F68" s="97">
        <f t="shared" si="8"/>
        <v>22200</v>
      </c>
      <c r="G68" s="97"/>
      <c r="H68" s="97">
        <v>22200</v>
      </c>
      <c r="I68" s="97"/>
      <c r="J68" s="97"/>
      <c r="K68" s="12"/>
    </row>
    <row r="69" spans="1:11" s="154" customFormat="1" ht="56.25" customHeight="1" x14ac:dyDescent="0.25">
      <c r="A69" s="47">
        <v>31</v>
      </c>
      <c r="B69" s="46" t="s">
        <v>520</v>
      </c>
      <c r="C69" s="12"/>
      <c r="D69" s="12"/>
      <c r="E69" s="12"/>
      <c r="F69" s="97">
        <f t="shared" si="8"/>
        <v>18541</v>
      </c>
      <c r="G69" s="97"/>
      <c r="H69" s="97">
        <v>18541</v>
      </c>
      <c r="I69" s="97"/>
      <c r="J69" s="97"/>
      <c r="K69" s="12"/>
    </row>
    <row r="70" spans="1:11" s="154" customFormat="1" ht="21.75" customHeight="1" x14ac:dyDescent="0.25">
      <c r="A70" s="47">
        <v>32</v>
      </c>
      <c r="B70" s="46" t="s">
        <v>485</v>
      </c>
      <c r="C70" s="12"/>
      <c r="D70" s="12"/>
      <c r="E70" s="12"/>
      <c r="F70" s="97">
        <f t="shared" si="8"/>
        <v>204</v>
      </c>
      <c r="G70" s="97">
        <v>204</v>
      </c>
      <c r="H70" s="97"/>
      <c r="I70" s="97"/>
      <c r="J70" s="97"/>
      <c r="K70" s="12"/>
    </row>
    <row r="71" spans="1:11" s="154" customFormat="1" ht="47.25" customHeight="1" x14ac:dyDescent="0.25">
      <c r="A71" s="47">
        <v>33</v>
      </c>
      <c r="B71" s="46" t="s">
        <v>521</v>
      </c>
      <c r="C71" s="12"/>
      <c r="D71" s="12"/>
      <c r="E71" s="12"/>
      <c r="F71" s="97">
        <f t="shared" si="8"/>
        <v>53986</v>
      </c>
      <c r="G71" s="97"/>
      <c r="H71" s="97">
        <v>53986</v>
      </c>
      <c r="I71" s="97"/>
      <c r="J71" s="97"/>
      <c r="K71" s="12"/>
    </row>
    <row r="72" spans="1:11" s="154" customFormat="1" ht="36" customHeight="1" x14ac:dyDescent="0.25">
      <c r="A72" s="47">
        <v>34</v>
      </c>
      <c r="B72" s="46" t="s">
        <v>528</v>
      </c>
      <c r="C72" s="12"/>
      <c r="D72" s="12"/>
      <c r="E72" s="12"/>
      <c r="F72" s="97">
        <f t="shared" si="8"/>
        <v>1638</v>
      </c>
      <c r="G72" s="97">
        <v>1638</v>
      </c>
      <c r="H72" s="97"/>
      <c r="I72" s="97"/>
      <c r="J72" s="97"/>
      <c r="K72" s="12"/>
    </row>
    <row r="73" spans="1:11" s="154" customFormat="1" ht="52.5" customHeight="1" x14ac:dyDescent="0.25">
      <c r="A73" s="47">
        <v>35</v>
      </c>
      <c r="B73" s="46" t="s">
        <v>530</v>
      </c>
      <c r="C73" s="12"/>
      <c r="D73" s="12"/>
      <c r="E73" s="12"/>
      <c r="F73" s="97">
        <f t="shared" si="8"/>
        <v>14275</v>
      </c>
      <c r="G73" s="97"/>
      <c r="H73" s="97">
        <v>14275</v>
      </c>
      <c r="I73" s="97"/>
      <c r="J73" s="97"/>
      <c r="K73" s="12"/>
    </row>
    <row r="74" spans="1:11" s="154" customFormat="1" ht="20.25" customHeight="1" x14ac:dyDescent="0.25">
      <c r="A74" s="47">
        <v>36</v>
      </c>
      <c r="B74" s="46" t="s">
        <v>517</v>
      </c>
      <c r="C74" s="12"/>
      <c r="D74" s="12"/>
      <c r="E74" s="12"/>
      <c r="F74" s="97">
        <f t="shared" si="8"/>
        <v>2165</v>
      </c>
      <c r="G74" s="97">
        <v>2165</v>
      </c>
      <c r="H74" s="97"/>
      <c r="I74" s="97"/>
      <c r="J74" s="97"/>
      <c r="K74" s="12"/>
    </row>
    <row r="75" spans="1:11" s="154" customFormat="1" ht="18" customHeight="1" x14ac:dyDescent="0.25">
      <c r="A75" s="47">
        <v>37</v>
      </c>
      <c r="B75" s="46" t="s">
        <v>272</v>
      </c>
      <c r="C75" s="12"/>
      <c r="D75" s="12"/>
      <c r="E75" s="12"/>
      <c r="F75" s="97">
        <f t="shared" si="8"/>
        <v>222437</v>
      </c>
      <c r="G75" s="97">
        <v>222437</v>
      </c>
      <c r="H75" s="97"/>
      <c r="I75" s="97"/>
      <c r="J75" s="97"/>
      <c r="K75" s="12"/>
    </row>
    <row r="76" spans="1:11" s="154" customFormat="1" ht="22.5" customHeight="1" x14ac:dyDescent="0.25">
      <c r="A76" s="146" t="s">
        <v>10</v>
      </c>
      <c r="B76" s="11" t="s">
        <v>97</v>
      </c>
      <c r="C76" s="12"/>
      <c r="D76" s="12"/>
      <c r="E76" s="12"/>
      <c r="F76" s="98">
        <f>G76+H76</f>
        <v>6896924</v>
      </c>
      <c r="G76" s="98">
        <v>5294605</v>
      </c>
      <c r="H76" s="98">
        <f>1441495+160824</f>
        <v>1602319</v>
      </c>
      <c r="I76" s="97"/>
      <c r="J76" s="97"/>
      <c r="K76" s="12"/>
    </row>
    <row r="77" spans="1:11" s="154" customFormat="1" ht="24" customHeight="1" x14ac:dyDescent="0.25">
      <c r="A77" s="146" t="s">
        <v>13</v>
      </c>
      <c r="B77" s="11" t="s">
        <v>246</v>
      </c>
      <c r="C77" s="12"/>
      <c r="D77" s="12"/>
      <c r="E77" s="12"/>
      <c r="F77" s="98">
        <f>G77+H77</f>
        <v>227486</v>
      </c>
      <c r="G77" s="98">
        <v>198007</v>
      </c>
      <c r="H77" s="98">
        <f>22932+6547</f>
        <v>29479</v>
      </c>
      <c r="I77" s="97"/>
      <c r="J77" s="97"/>
      <c r="K77" s="12"/>
    </row>
    <row r="78" spans="1:11" s="101" customFormat="1" ht="19.5" customHeight="1" x14ac:dyDescent="0.25">
      <c r="A78" s="102" t="s">
        <v>18</v>
      </c>
      <c r="B78" s="103" t="s">
        <v>497</v>
      </c>
      <c r="C78" s="104"/>
      <c r="D78" s="105">
        <v>7600</v>
      </c>
      <c r="E78" s="76"/>
      <c r="F78" s="76"/>
      <c r="G78" s="76"/>
      <c r="H78" s="76"/>
      <c r="I78" s="76"/>
      <c r="J78" s="76"/>
      <c r="K78" s="76"/>
    </row>
    <row r="79" spans="1:11" s="154" customFormat="1" ht="15.75" x14ac:dyDescent="0.25"/>
    <row r="80" spans="1:11" s="154" customFormat="1" ht="15.75" x14ac:dyDescent="0.25"/>
  </sheetData>
  <mergeCells count="9">
    <mergeCell ref="I7:K7"/>
    <mergeCell ref="A3:K3"/>
    <mergeCell ref="A4:K4"/>
    <mergeCell ref="A7:A8"/>
    <mergeCell ref="B7:B8"/>
    <mergeCell ref="C7:C8"/>
    <mergeCell ref="D7:E7"/>
    <mergeCell ref="F7:F8"/>
    <mergeCell ref="G7:H7"/>
  </mergeCells>
  <pageMargins left="0.7" right="0.6" top="0.7" bottom="0.6" header="0.196850393700787" footer="0.2"/>
  <pageSetup paperSize="9" scale="85" orientation="landscape" r:id="rId1"/>
  <headerFooter>
    <oddHeader>&amp;RBiểu số 06</oddHeader>
    <oddFooter>&amp;C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82"/>
  <sheetViews>
    <sheetView tabSelected="1" workbookViewId="0">
      <pane ySplit="9" topLeftCell="A10" activePane="bottomLeft" state="frozen"/>
      <selection activeCell="B1" sqref="B1"/>
      <selection pane="bottomLeft" activeCell="J5" sqref="J5"/>
    </sheetView>
  </sheetViews>
  <sheetFormatPr defaultColWidth="9" defaultRowHeight="11.25" x14ac:dyDescent="0.2"/>
  <cols>
    <col min="1" max="1" width="3.42578125" style="164" customWidth="1"/>
    <col min="2" max="2" width="28.28515625" style="164" customWidth="1"/>
    <col min="3" max="3" width="8.7109375" style="164" customWidth="1"/>
    <col min="4" max="4" width="8.85546875" style="164" customWidth="1"/>
    <col min="5" max="5" width="9.5703125" style="164" customWidth="1"/>
    <col min="6" max="6" width="7.5703125" style="164" customWidth="1"/>
    <col min="7" max="7" width="7.7109375" style="164" customWidth="1"/>
    <col min="8" max="8" width="6.7109375" style="164" hidden="1" customWidth="1"/>
    <col min="9" max="9" width="5.42578125" style="164" customWidth="1"/>
    <col min="10" max="10" width="6" style="164" customWidth="1"/>
    <col min="11" max="11" width="7" style="164" customWidth="1"/>
    <col min="12" max="12" width="7.85546875" style="164" customWidth="1"/>
    <col min="13" max="13" width="8.5703125" style="164" customWidth="1"/>
    <col min="14" max="14" width="8.7109375" style="164" customWidth="1"/>
    <col min="15" max="15" width="8" style="164" customWidth="1"/>
    <col min="16" max="17" width="6.7109375" style="164" customWidth="1"/>
    <col min="18" max="19" width="5.85546875" style="164" customWidth="1"/>
    <col min="20" max="20" width="6.28515625" style="164" customWidth="1"/>
    <col min="21" max="21" width="7.7109375" style="164" customWidth="1"/>
    <col min="22" max="22" width="8.140625" style="164" hidden="1" customWidth="1"/>
    <col min="23" max="23" width="6.7109375" style="164" customWidth="1"/>
    <col min="24" max="24" width="8" style="164" customWidth="1"/>
    <col min="25" max="25" width="0.28515625" style="164" hidden="1" customWidth="1"/>
    <col min="26" max="27" width="6.42578125" style="164" customWidth="1"/>
    <col min="28" max="28" width="6.5703125" style="164" customWidth="1"/>
    <col min="29" max="29" width="9" style="164"/>
    <col min="30" max="30" width="10.42578125" style="164" bestFit="1" customWidth="1"/>
    <col min="31" max="16384" width="9" style="164"/>
  </cols>
  <sheetData>
    <row r="1" spans="1:30" ht="15" customHeight="1" x14ac:dyDescent="0.2">
      <c r="Z1" s="245"/>
      <c r="AA1" s="245"/>
      <c r="AB1" s="245"/>
    </row>
    <row r="2" spans="1:30" x14ac:dyDescent="0.2">
      <c r="A2" s="243" t="s">
        <v>496</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row>
    <row r="3" spans="1:30" x14ac:dyDescent="0.2">
      <c r="A3" s="244" t="s">
        <v>582</v>
      </c>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row>
    <row r="4" spans="1:30" x14ac:dyDescent="0.2">
      <c r="A4" s="149"/>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row>
    <row r="5" spans="1:30" x14ac:dyDescent="0.2">
      <c r="AB5" s="72" t="s">
        <v>556</v>
      </c>
    </row>
    <row r="6" spans="1:30" ht="17.25" customHeight="1" x14ac:dyDescent="0.2">
      <c r="A6" s="239" t="s">
        <v>557</v>
      </c>
      <c r="B6" s="239" t="s">
        <v>28</v>
      </c>
      <c r="C6" s="246" t="s">
        <v>124</v>
      </c>
      <c r="D6" s="247"/>
      <c r="E6" s="247"/>
      <c r="F6" s="247"/>
      <c r="G6" s="247"/>
      <c r="H6" s="247"/>
      <c r="I6" s="247"/>
      <c r="J6" s="247"/>
      <c r="K6" s="247"/>
      <c r="L6" s="248"/>
      <c r="M6" s="239" t="s">
        <v>132</v>
      </c>
      <c r="N6" s="239"/>
      <c r="O6" s="239"/>
      <c r="P6" s="239"/>
      <c r="Q6" s="239"/>
      <c r="R6" s="239"/>
      <c r="S6" s="239"/>
      <c r="T6" s="239"/>
      <c r="U6" s="239"/>
      <c r="V6" s="240" t="s">
        <v>484</v>
      </c>
      <c r="W6" s="240" t="s">
        <v>506</v>
      </c>
      <c r="X6" s="240" t="s">
        <v>278</v>
      </c>
      <c r="Y6" s="240" t="s">
        <v>174</v>
      </c>
      <c r="Z6" s="239" t="s">
        <v>68</v>
      </c>
      <c r="AA6" s="239"/>
      <c r="AB6" s="239"/>
    </row>
    <row r="7" spans="1:30" ht="20.25" customHeight="1" x14ac:dyDescent="0.2">
      <c r="A7" s="239"/>
      <c r="B7" s="239"/>
      <c r="C7" s="239" t="s">
        <v>24</v>
      </c>
      <c r="D7" s="239" t="s">
        <v>469</v>
      </c>
      <c r="E7" s="239" t="s">
        <v>470</v>
      </c>
      <c r="F7" s="240" t="s">
        <v>277</v>
      </c>
      <c r="G7" s="239" t="s">
        <v>275</v>
      </c>
      <c r="H7" s="240" t="s">
        <v>17</v>
      </c>
      <c r="I7" s="240" t="s">
        <v>37</v>
      </c>
      <c r="J7" s="240" t="s">
        <v>498</v>
      </c>
      <c r="K7" s="239" t="s">
        <v>239</v>
      </c>
      <c r="L7" s="240" t="s">
        <v>278</v>
      </c>
      <c r="M7" s="239" t="s">
        <v>24</v>
      </c>
      <c r="N7" s="239" t="s">
        <v>469</v>
      </c>
      <c r="O7" s="239" t="s">
        <v>470</v>
      </c>
      <c r="P7" s="239" t="s">
        <v>239</v>
      </c>
      <c r="Q7" s="240" t="s">
        <v>37</v>
      </c>
      <c r="R7" s="239" t="s">
        <v>118</v>
      </c>
      <c r="S7" s="239"/>
      <c r="T7" s="239"/>
      <c r="U7" s="239" t="s">
        <v>119</v>
      </c>
      <c r="V7" s="241"/>
      <c r="W7" s="241"/>
      <c r="X7" s="241"/>
      <c r="Y7" s="241"/>
      <c r="Z7" s="239" t="s">
        <v>24</v>
      </c>
      <c r="AA7" s="239" t="s">
        <v>66</v>
      </c>
      <c r="AB7" s="239" t="s">
        <v>15</v>
      </c>
    </row>
    <row r="8" spans="1:30" ht="109.5" customHeight="1" x14ac:dyDescent="0.2">
      <c r="A8" s="239"/>
      <c r="B8" s="239"/>
      <c r="C8" s="239"/>
      <c r="D8" s="239"/>
      <c r="E8" s="239"/>
      <c r="F8" s="242"/>
      <c r="G8" s="239"/>
      <c r="H8" s="242"/>
      <c r="I8" s="242"/>
      <c r="J8" s="242"/>
      <c r="K8" s="239"/>
      <c r="L8" s="242"/>
      <c r="M8" s="239"/>
      <c r="N8" s="239"/>
      <c r="O8" s="239"/>
      <c r="P8" s="239"/>
      <c r="Q8" s="242"/>
      <c r="R8" s="148" t="s">
        <v>24</v>
      </c>
      <c r="S8" s="148" t="s">
        <v>66</v>
      </c>
      <c r="T8" s="148" t="s">
        <v>15</v>
      </c>
      <c r="U8" s="239"/>
      <c r="V8" s="242"/>
      <c r="W8" s="242"/>
      <c r="X8" s="242"/>
      <c r="Y8" s="242"/>
      <c r="Z8" s="239"/>
      <c r="AA8" s="239"/>
      <c r="AB8" s="239"/>
      <c r="AC8" s="165"/>
    </row>
    <row r="9" spans="1:30" ht="12" customHeight="1" x14ac:dyDescent="0.2">
      <c r="A9" s="148" t="s">
        <v>2</v>
      </c>
      <c r="B9" s="148" t="s">
        <v>3</v>
      </c>
      <c r="C9" s="148">
        <v>1</v>
      </c>
      <c r="D9" s="148">
        <v>2</v>
      </c>
      <c r="E9" s="148">
        <v>3</v>
      </c>
      <c r="F9" s="148">
        <v>4</v>
      </c>
      <c r="G9" s="148">
        <v>5</v>
      </c>
      <c r="H9" s="148">
        <v>6</v>
      </c>
      <c r="I9" s="148">
        <v>7</v>
      </c>
      <c r="J9" s="148">
        <v>8</v>
      </c>
      <c r="K9" s="148">
        <v>9</v>
      </c>
      <c r="L9" s="148">
        <v>10</v>
      </c>
      <c r="M9" s="148">
        <v>11</v>
      </c>
      <c r="N9" s="148">
        <v>12</v>
      </c>
      <c r="O9" s="148">
        <v>13</v>
      </c>
      <c r="P9" s="148">
        <v>14</v>
      </c>
      <c r="Q9" s="148">
        <v>15</v>
      </c>
      <c r="R9" s="148">
        <v>16</v>
      </c>
      <c r="S9" s="148">
        <v>17</v>
      </c>
      <c r="T9" s="148">
        <v>18</v>
      </c>
      <c r="U9" s="148">
        <v>19</v>
      </c>
      <c r="V9" s="148">
        <v>16</v>
      </c>
      <c r="W9" s="148">
        <v>20</v>
      </c>
      <c r="X9" s="148">
        <v>21</v>
      </c>
      <c r="Y9" s="148">
        <v>17</v>
      </c>
      <c r="Z9" s="148" t="s">
        <v>503</v>
      </c>
      <c r="AA9" s="148" t="s">
        <v>504</v>
      </c>
      <c r="AB9" s="148" t="s">
        <v>505</v>
      </c>
    </row>
    <row r="10" spans="1:30" ht="14.25" customHeight="1" x14ac:dyDescent="0.2">
      <c r="A10" s="166"/>
      <c r="B10" s="166" t="s">
        <v>25</v>
      </c>
      <c r="C10" s="167">
        <f>C11+C62+C63+C64+C65+C68</f>
        <v>8598374</v>
      </c>
      <c r="D10" s="167">
        <f>D11</f>
        <v>1899768</v>
      </c>
      <c r="E10" s="65">
        <f>E11+E62+E63+E64</f>
        <v>2680920</v>
      </c>
      <c r="F10" s="65">
        <f>F11</f>
        <v>248129</v>
      </c>
      <c r="G10" s="65">
        <f>G11</f>
        <v>1097730</v>
      </c>
      <c r="H10" s="65">
        <f>H64</f>
        <v>102133</v>
      </c>
      <c r="I10" s="65">
        <f>I63</f>
        <v>1000</v>
      </c>
      <c r="J10" s="65">
        <f>J68</f>
        <v>7600</v>
      </c>
      <c r="K10" s="65">
        <f>K62</f>
        <v>2600</v>
      </c>
      <c r="L10" s="65">
        <f>L65</f>
        <v>2558494</v>
      </c>
      <c r="M10" s="65">
        <f>M11+M62+M63+M65+M66+M67</f>
        <v>14555971</v>
      </c>
      <c r="N10" s="65">
        <f>N11</f>
        <v>3009916</v>
      </c>
      <c r="O10" s="65">
        <f>O11+O65</f>
        <v>2472354</v>
      </c>
      <c r="P10" s="65">
        <f>P62</f>
        <v>733</v>
      </c>
      <c r="Q10" s="65">
        <f>Q63</f>
        <v>1000</v>
      </c>
      <c r="R10" s="65">
        <f>S10+T10</f>
        <v>59223</v>
      </c>
      <c r="S10" s="65">
        <f>S11</f>
        <v>32047</v>
      </c>
      <c r="T10" s="65">
        <f>T11</f>
        <v>27176</v>
      </c>
      <c r="U10" s="65">
        <f>U66</f>
        <v>5294605</v>
      </c>
      <c r="V10" s="65">
        <f>V11</f>
        <v>0</v>
      </c>
      <c r="W10" s="65">
        <f>W67</f>
        <v>198007</v>
      </c>
      <c r="X10" s="65">
        <f>X65</f>
        <v>3520133</v>
      </c>
      <c r="Y10" s="65"/>
      <c r="Z10" s="66">
        <f>M10/C10*100</f>
        <v>169.28748388939582</v>
      </c>
      <c r="AA10" s="66">
        <f>N10/D10*100</f>
        <v>158.43597744566705</v>
      </c>
      <c r="AB10" s="66">
        <f>O10/E10*100</f>
        <v>92.220357190815093</v>
      </c>
    </row>
    <row r="11" spans="1:30" ht="13.5" customHeight="1" x14ac:dyDescent="0.2">
      <c r="A11" s="148" t="s">
        <v>11</v>
      </c>
      <c r="B11" s="166" t="s">
        <v>120</v>
      </c>
      <c r="C11" s="167">
        <f>D11+E11+G11+F11</f>
        <v>5926547</v>
      </c>
      <c r="D11" s="167">
        <v>1899768</v>
      </c>
      <c r="E11" s="65">
        <f>SUM(E12:E61)</f>
        <v>2680920</v>
      </c>
      <c r="F11" s="65">
        <f>F61</f>
        <v>248129</v>
      </c>
      <c r="G11" s="65">
        <f>G61</f>
        <v>1097730</v>
      </c>
      <c r="H11" s="65"/>
      <c r="I11" s="65"/>
      <c r="J11" s="65"/>
      <c r="K11" s="65"/>
      <c r="L11" s="65"/>
      <c r="M11" s="65">
        <f>N11+O11+R11+V11</f>
        <v>5541493</v>
      </c>
      <c r="N11" s="65">
        <f>SUM(N12:N61)</f>
        <v>3009916</v>
      </c>
      <c r="O11" s="65">
        <f>SUM(O12:O61)</f>
        <v>2472354</v>
      </c>
      <c r="P11" s="65"/>
      <c r="Q11" s="65"/>
      <c r="R11" s="65">
        <f>S11+T11</f>
        <v>59223</v>
      </c>
      <c r="S11" s="65">
        <f>SUM(S13:S61)</f>
        <v>32047</v>
      </c>
      <c r="T11" s="65">
        <f>T14+T17+T20+T23+T25+T28+T30+T32+T44+T59+T60+T34+T31</f>
        <v>27176</v>
      </c>
      <c r="U11" s="65"/>
      <c r="V11" s="65"/>
      <c r="W11" s="65"/>
      <c r="X11" s="67"/>
      <c r="Y11" s="67"/>
      <c r="Z11" s="66">
        <f>M11/C11*100</f>
        <v>93.502894687243682</v>
      </c>
      <c r="AA11" s="66">
        <f>N11/D11*100</f>
        <v>158.43597744566705</v>
      </c>
      <c r="AB11" s="66">
        <f t="shared" ref="AB11" si="0">O11/E11*100</f>
        <v>92.220357190815093</v>
      </c>
      <c r="AC11" s="165"/>
      <c r="AD11" s="165"/>
    </row>
    <row r="12" spans="1:30" ht="13.5" customHeight="1" x14ac:dyDescent="0.2">
      <c r="A12" s="168">
        <v>1</v>
      </c>
      <c r="B12" s="169" t="s">
        <v>500</v>
      </c>
      <c r="C12" s="68">
        <f>D12+E12</f>
        <v>12876</v>
      </c>
      <c r="D12" s="68"/>
      <c r="E12" s="68">
        <v>12876</v>
      </c>
      <c r="F12" s="68"/>
      <c r="G12" s="68"/>
      <c r="H12" s="68"/>
      <c r="I12" s="68"/>
      <c r="J12" s="68"/>
      <c r="K12" s="68"/>
      <c r="L12" s="68"/>
      <c r="M12" s="170">
        <f>N12+O12</f>
        <v>9176</v>
      </c>
      <c r="N12" s="68"/>
      <c r="O12" s="68">
        <v>9176</v>
      </c>
      <c r="P12" s="68"/>
      <c r="Q12" s="68"/>
      <c r="R12" s="68"/>
      <c r="S12" s="68"/>
      <c r="T12" s="68"/>
      <c r="U12" s="68"/>
      <c r="V12" s="68"/>
      <c r="W12" s="68"/>
      <c r="X12" s="68"/>
      <c r="Y12" s="68"/>
      <c r="Z12" s="69"/>
      <c r="AA12" s="69"/>
      <c r="AB12" s="66"/>
      <c r="AC12" s="165"/>
      <c r="AD12" s="165"/>
    </row>
    <row r="13" spans="1:30" ht="25.5" customHeight="1" x14ac:dyDescent="0.2">
      <c r="A13" s="168">
        <v>2</v>
      </c>
      <c r="B13" s="169" t="s">
        <v>196</v>
      </c>
      <c r="C13" s="68">
        <f t="shared" ref="C13:C60" si="1">D13+E13</f>
        <v>30926</v>
      </c>
      <c r="D13" s="68"/>
      <c r="E13" s="170">
        <v>30926</v>
      </c>
      <c r="F13" s="170"/>
      <c r="G13" s="170"/>
      <c r="H13" s="170"/>
      <c r="I13" s="170"/>
      <c r="J13" s="170"/>
      <c r="K13" s="170"/>
      <c r="L13" s="170"/>
      <c r="M13" s="170">
        <f t="shared" ref="M13" si="2">N13+O13</f>
        <v>27605</v>
      </c>
      <c r="N13" s="68"/>
      <c r="O13" s="68">
        <f>29416-1811</f>
        <v>27605</v>
      </c>
      <c r="P13" s="68"/>
      <c r="Q13" s="68"/>
      <c r="R13" s="68"/>
      <c r="S13" s="68"/>
      <c r="T13" s="68"/>
      <c r="U13" s="68"/>
      <c r="V13" s="68"/>
      <c r="W13" s="68"/>
      <c r="X13" s="68"/>
      <c r="Y13" s="68"/>
      <c r="Z13" s="69"/>
      <c r="AA13" s="69"/>
      <c r="AB13" s="69"/>
      <c r="AC13" s="165"/>
      <c r="AD13" s="165"/>
    </row>
    <row r="14" spans="1:30" ht="13.5" customHeight="1" x14ac:dyDescent="0.2">
      <c r="A14" s="168">
        <v>3</v>
      </c>
      <c r="B14" s="169" t="s">
        <v>197</v>
      </c>
      <c r="C14" s="68">
        <f t="shared" si="1"/>
        <v>7729</v>
      </c>
      <c r="D14" s="68"/>
      <c r="E14" s="170">
        <v>7729</v>
      </c>
      <c r="F14" s="170"/>
      <c r="G14" s="170"/>
      <c r="H14" s="170"/>
      <c r="I14" s="170"/>
      <c r="J14" s="170"/>
      <c r="K14" s="170"/>
      <c r="L14" s="170"/>
      <c r="M14" s="170">
        <f>N14+O14+R14</f>
        <v>7768</v>
      </c>
      <c r="N14" s="68">
        <v>881</v>
      </c>
      <c r="O14" s="68">
        <f>6999-T14-112</f>
        <v>6867</v>
      </c>
      <c r="P14" s="68"/>
      <c r="Q14" s="68"/>
      <c r="R14" s="68">
        <f>S14+T14</f>
        <v>20</v>
      </c>
      <c r="S14" s="68"/>
      <c r="T14" s="68">
        <v>20</v>
      </c>
      <c r="U14" s="68"/>
      <c r="V14" s="68"/>
      <c r="W14" s="68"/>
      <c r="X14" s="68"/>
      <c r="Y14" s="68"/>
      <c r="Z14" s="69"/>
      <c r="AA14" s="69"/>
      <c r="AB14" s="69"/>
    </row>
    <row r="15" spans="1:30" ht="13.5" customHeight="1" x14ac:dyDescent="0.2">
      <c r="A15" s="168">
        <v>4</v>
      </c>
      <c r="B15" s="169" t="s">
        <v>198</v>
      </c>
      <c r="C15" s="68">
        <f t="shared" si="1"/>
        <v>9073</v>
      </c>
      <c r="D15" s="68"/>
      <c r="E15" s="170">
        <v>9073</v>
      </c>
      <c r="F15" s="170"/>
      <c r="G15" s="170"/>
      <c r="H15" s="170"/>
      <c r="I15" s="170"/>
      <c r="J15" s="170"/>
      <c r="K15" s="170"/>
      <c r="L15" s="170"/>
      <c r="M15" s="170">
        <f>N15+O15+R15</f>
        <v>12209</v>
      </c>
      <c r="N15" s="68">
        <v>4202</v>
      </c>
      <c r="O15" s="68">
        <v>8007</v>
      </c>
      <c r="P15" s="68"/>
      <c r="Q15" s="68"/>
      <c r="R15" s="68"/>
      <c r="S15" s="68"/>
      <c r="T15" s="68"/>
      <c r="U15" s="68"/>
      <c r="V15" s="68"/>
      <c r="W15" s="68"/>
      <c r="X15" s="68"/>
      <c r="Y15" s="68"/>
      <c r="Z15" s="68"/>
      <c r="AA15" s="68"/>
      <c r="AB15" s="68"/>
    </row>
    <row r="16" spans="1:30" ht="13.5" customHeight="1" x14ac:dyDescent="0.2">
      <c r="A16" s="168">
        <v>5</v>
      </c>
      <c r="B16" s="169" t="s">
        <v>199</v>
      </c>
      <c r="C16" s="68">
        <f t="shared" si="1"/>
        <v>12703</v>
      </c>
      <c r="D16" s="68"/>
      <c r="E16" s="170">
        <v>12703</v>
      </c>
      <c r="F16" s="170"/>
      <c r="G16" s="170"/>
      <c r="H16" s="170"/>
      <c r="I16" s="170"/>
      <c r="J16" s="170"/>
      <c r="K16" s="170"/>
      <c r="L16" s="170"/>
      <c r="M16" s="170">
        <f t="shared" ref="M16:M61" si="3">N16+O16+R16</f>
        <v>16815</v>
      </c>
      <c r="N16" s="68">
        <v>3616</v>
      </c>
      <c r="O16" s="68">
        <f>10686-27+2540</f>
        <v>13199</v>
      </c>
      <c r="P16" s="68"/>
      <c r="Q16" s="68"/>
      <c r="R16" s="68"/>
      <c r="S16" s="68" t="s">
        <v>273</v>
      </c>
      <c r="T16" s="68"/>
      <c r="U16" s="68"/>
      <c r="V16" s="68"/>
      <c r="W16" s="68"/>
      <c r="X16" s="68"/>
      <c r="Y16" s="68"/>
      <c r="Z16" s="68"/>
      <c r="AA16" s="68"/>
      <c r="AB16" s="68"/>
    </row>
    <row r="17" spans="1:28" ht="13.5" customHeight="1" x14ac:dyDescent="0.2">
      <c r="A17" s="168">
        <v>6</v>
      </c>
      <c r="B17" s="169" t="s">
        <v>200</v>
      </c>
      <c r="C17" s="68">
        <f t="shared" si="1"/>
        <v>60225</v>
      </c>
      <c r="D17" s="68"/>
      <c r="E17" s="170">
        <v>60225</v>
      </c>
      <c r="F17" s="170"/>
      <c r="G17" s="170"/>
      <c r="H17" s="170"/>
      <c r="I17" s="170"/>
      <c r="J17" s="170"/>
      <c r="K17" s="170"/>
      <c r="L17" s="170"/>
      <c r="M17" s="170">
        <f t="shared" si="3"/>
        <v>27164</v>
      </c>
      <c r="N17" s="68">
        <v>226</v>
      </c>
      <c r="O17" s="68">
        <f>26938-T17</f>
        <v>26794</v>
      </c>
      <c r="P17" s="68"/>
      <c r="Q17" s="68"/>
      <c r="R17" s="68">
        <f>S17+T17</f>
        <v>144</v>
      </c>
      <c r="S17" s="68"/>
      <c r="T17" s="68">
        <v>144</v>
      </c>
      <c r="U17" s="68"/>
      <c r="V17" s="68"/>
      <c r="W17" s="68"/>
      <c r="X17" s="68"/>
      <c r="Y17" s="68"/>
      <c r="Z17" s="68"/>
      <c r="AA17" s="68"/>
      <c r="AB17" s="68"/>
    </row>
    <row r="18" spans="1:28" ht="13.5" customHeight="1" x14ac:dyDescent="0.2">
      <c r="A18" s="168">
        <v>7</v>
      </c>
      <c r="B18" s="169" t="s">
        <v>201</v>
      </c>
      <c r="C18" s="68">
        <f t="shared" si="1"/>
        <v>21674</v>
      </c>
      <c r="D18" s="68"/>
      <c r="E18" s="170">
        <v>21674</v>
      </c>
      <c r="F18" s="170"/>
      <c r="G18" s="170"/>
      <c r="H18" s="170"/>
      <c r="I18" s="170"/>
      <c r="J18" s="170"/>
      <c r="K18" s="170"/>
      <c r="L18" s="170"/>
      <c r="M18" s="170">
        <f t="shared" si="3"/>
        <v>13573</v>
      </c>
      <c r="N18" s="68">
        <v>2656</v>
      </c>
      <c r="O18" s="68">
        <f>20669-9752</f>
        <v>10917</v>
      </c>
      <c r="P18" s="68"/>
      <c r="Q18" s="68"/>
      <c r="R18" s="68"/>
      <c r="S18" s="68"/>
      <c r="T18" s="68"/>
      <c r="U18" s="68"/>
      <c r="V18" s="68"/>
      <c r="W18" s="68"/>
      <c r="X18" s="68"/>
      <c r="Y18" s="68"/>
      <c r="Z18" s="68"/>
      <c r="AA18" s="68"/>
      <c r="AB18" s="68"/>
    </row>
    <row r="19" spans="1:28" ht="13.5" customHeight="1" x14ac:dyDescent="0.2">
      <c r="A19" s="168">
        <v>8</v>
      </c>
      <c r="B19" s="169" t="s">
        <v>202</v>
      </c>
      <c r="C19" s="68">
        <f t="shared" si="1"/>
        <v>13420</v>
      </c>
      <c r="D19" s="68"/>
      <c r="E19" s="170">
        <v>13420</v>
      </c>
      <c r="F19" s="170"/>
      <c r="G19" s="170"/>
      <c r="H19" s="170"/>
      <c r="I19" s="170"/>
      <c r="J19" s="170"/>
      <c r="K19" s="170"/>
      <c r="L19" s="170"/>
      <c r="M19" s="170">
        <f t="shared" si="3"/>
        <v>14616</v>
      </c>
      <c r="N19" s="68">
        <v>3427</v>
      </c>
      <c r="O19" s="68">
        <f>11659-470</f>
        <v>11189</v>
      </c>
      <c r="P19" s="68"/>
      <c r="Q19" s="68"/>
      <c r="R19" s="68"/>
      <c r="S19" s="68"/>
      <c r="T19" s="68"/>
      <c r="U19" s="68"/>
      <c r="V19" s="68"/>
      <c r="W19" s="68"/>
      <c r="X19" s="68"/>
      <c r="Y19" s="68"/>
      <c r="Z19" s="68"/>
      <c r="AA19" s="68"/>
      <c r="AB19" s="68"/>
    </row>
    <row r="20" spans="1:28" ht="13.5" customHeight="1" x14ac:dyDescent="0.2">
      <c r="A20" s="168">
        <v>9</v>
      </c>
      <c r="B20" s="169" t="s">
        <v>203</v>
      </c>
      <c r="C20" s="68">
        <f t="shared" si="1"/>
        <v>125967</v>
      </c>
      <c r="D20" s="68"/>
      <c r="E20" s="170">
        <v>125967</v>
      </c>
      <c r="F20" s="170"/>
      <c r="G20" s="170"/>
      <c r="H20" s="170"/>
      <c r="I20" s="170"/>
      <c r="J20" s="170"/>
      <c r="K20" s="170"/>
      <c r="L20" s="170"/>
      <c r="M20" s="170">
        <f t="shared" si="3"/>
        <v>69269</v>
      </c>
      <c r="N20" s="68">
        <v>15301</v>
      </c>
      <c r="O20" s="68">
        <f>53968-T20</f>
        <v>52588</v>
      </c>
      <c r="P20" s="68"/>
      <c r="Q20" s="68"/>
      <c r="R20" s="68">
        <f t="shared" ref="R20:R60" si="4">S20+T20</f>
        <v>1380</v>
      </c>
      <c r="S20" s="68"/>
      <c r="T20" s="68">
        <v>1380</v>
      </c>
      <c r="U20" s="68"/>
      <c r="V20" s="68"/>
      <c r="W20" s="68"/>
      <c r="X20" s="68"/>
      <c r="Y20" s="68"/>
      <c r="Z20" s="68"/>
      <c r="AA20" s="68"/>
      <c r="AB20" s="68"/>
    </row>
    <row r="21" spans="1:28" ht="13.5" customHeight="1" x14ac:dyDescent="0.2">
      <c r="A21" s="168">
        <v>10</v>
      </c>
      <c r="B21" s="169" t="s">
        <v>204</v>
      </c>
      <c r="C21" s="68">
        <f t="shared" si="1"/>
        <v>9502</v>
      </c>
      <c r="D21" s="68"/>
      <c r="E21" s="170">
        <v>9502</v>
      </c>
      <c r="F21" s="170"/>
      <c r="G21" s="170"/>
      <c r="H21" s="170"/>
      <c r="I21" s="170"/>
      <c r="J21" s="170"/>
      <c r="K21" s="170"/>
      <c r="L21" s="170"/>
      <c r="M21" s="170">
        <f t="shared" si="3"/>
        <v>24090</v>
      </c>
      <c r="N21" s="68">
        <v>1740</v>
      </c>
      <c r="O21" s="68">
        <f>12231-17+10136</f>
        <v>22350</v>
      </c>
      <c r="P21" s="68"/>
      <c r="Q21" s="68"/>
      <c r="R21" s="68"/>
      <c r="S21" s="68"/>
      <c r="T21" s="68"/>
      <c r="U21" s="68"/>
      <c r="V21" s="68"/>
      <c r="W21" s="68"/>
      <c r="X21" s="68"/>
      <c r="Y21" s="68"/>
      <c r="Z21" s="68"/>
      <c r="AA21" s="68"/>
      <c r="AB21" s="68"/>
    </row>
    <row r="22" spans="1:28" ht="13.5" customHeight="1" x14ac:dyDescent="0.2">
      <c r="A22" s="168">
        <v>11</v>
      </c>
      <c r="B22" s="169" t="s">
        <v>205</v>
      </c>
      <c r="C22" s="68">
        <f t="shared" si="1"/>
        <v>63830</v>
      </c>
      <c r="D22" s="68"/>
      <c r="E22" s="170">
        <v>63830</v>
      </c>
      <c r="F22" s="170"/>
      <c r="G22" s="170"/>
      <c r="H22" s="170"/>
      <c r="I22" s="170"/>
      <c r="J22" s="170"/>
      <c r="K22" s="170"/>
      <c r="L22" s="170"/>
      <c r="M22" s="170">
        <f t="shared" si="3"/>
        <v>617423</v>
      </c>
      <c r="N22" s="68">
        <v>515446</v>
      </c>
      <c r="O22" s="68">
        <f>102302-325</f>
        <v>101977</v>
      </c>
      <c r="P22" s="68"/>
      <c r="Q22" s="68"/>
      <c r="R22" s="68"/>
      <c r="S22" s="68"/>
      <c r="T22" s="68"/>
      <c r="U22" s="68"/>
      <c r="V22" s="68"/>
      <c r="W22" s="68"/>
      <c r="X22" s="68"/>
      <c r="Y22" s="68"/>
      <c r="Z22" s="68"/>
      <c r="AA22" s="68"/>
      <c r="AB22" s="68"/>
    </row>
    <row r="23" spans="1:28" ht="13.5" customHeight="1" x14ac:dyDescent="0.2">
      <c r="A23" s="168">
        <v>12</v>
      </c>
      <c r="B23" s="169" t="s">
        <v>206</v>
      </c>
      <c r="C23" s="68">
        <f t="shared" si="1"/>
        <v>23467</v>
      </c>
      <c r="D23" s="68"/>
      <c r="E23" s="170">
        <v>23467</v>
      </c>
      <c r="F23" s="170"/>
      <c r="G23" s="170"/>
      <c r="H23" s="170"/>
      <c r="I23" s="170"/>
      <c r="J23" s="170"/>
      <c r="K23" s="170"/>
      <c r="L23" s="170"/>
      <c r="M23" s="170">
        <f t="shared" si="3"/>
        <v>19227</v>
      </c>
      <c r="N23" s="68"/>
      <c r="O23" s="68">
        <f>19227-T23</f>
        <v>18064</v>
      </c>
      <c r="P23" s="68"/>
      <c r="Q23" s="68"/>
      <c r="R23" s="68">
        <f t="shared" si="4"/>
        <v>1163</v>
      </c>
      <c r="S23" s="68"/>
      <c r="T23" s="68">
        <v>1163</v>
      </c>
      <c r="U23" s="68"/>
      <c r="V23" s="68"/>
      <c r="W23" s="68"/>
      <c r="X23" s="68"/>
      <c r="Y23" s="68"/>
      <c r="Z23" s="68"/>
      <c r="AA23" s="68"/>
      <c r="AB23" s="68"/>
    </row>
    <row r="24" spans="1:28" ht="13.5" customHeight="1" x14ac:dyDescent="0.2">
      <c r="A24" s="168">
        <v>13</v>
      </c>
      <c r="B24" s="169" t="s">
        <v>207</v>
      </c>
      <c r="C24" s="68">
        <f t="shared" si="1"/>
        <v>68804</v>
      </c>
      <c r="D24" s="68"/>
      <c r="E24" s="170">
        <v>68804</v>
      </c>
      <c r="F24" s="170"/>
      <c r="G24" s="170"/>
      <c r="H24" s="170"/>
      <c r="I24" s="170"/>
      <c r="J24" s="170"/>
      <c r="K24" s="170"/>
      <c r="L24" s="170"/>
      <c r="M24" s="170">
        <f t="shared" si="3"/>
        <v>35493</v>
      </c>
      <c r="N24" s="68">
        <v>5061</v>
      </c>
      <c r="O24" s="68">
        <v>30432</v>
      </c>
      <c r="P24" s="68"/>
      <c r="Q24" s="68"/>
      <c r="R24" s="68"/>
      <c r="S24" s="68"/>
      <c r="T24" s="68"/>
      <c r="U24" s="68"/>
      <c r="V24" s="68"/>
      <c r="W24" s="68"/>
      <c r="X24" s="68"/>
      <c r="Y24" s="68"/>
      <c r="Z24" s="68"/>
      <c r="AA24" s="68"/>
      <c r="AB24" s="68"/>
    </row>
    <row r="25" spans="1:28" ht="13.5" customHeight="1" x14ac:dyDescent="0.2">
      <c r="A25" s="168">
        <v>14</v>
      </c>
      <c r="B25" s="169" t="s">
        <v>208</v>
      </c>
      <c r="C25" s="68">
        <f t="shared" si="1"/>
        <v>103152</v>
      </c>
      <c r="D25" s="68"/>
      <c r="E25" s="170">
        <v>103152</v>
      </c>
      <c r="F25" s="170"/>
      <c r="G25" s="170"/>
      <c r="H25" s="170"/>
      <c r="I25" s="170"/>
      <c r="J25" s="170"/>
      <c r="K25" s="170"/>
      <c r="L25" s="170"/>
      <c r="M25" s="170">
        <f t="shared" si="3"/>
        <v>140511</v>
      </c>
      <c r="N25" s="68">
        <v>52633</v>
      </c>
      <c r="O25" s="68">
        <f>87878-T25</f>
        <v>86906</v>
      </c>
      <c r="P25" s="68"/>
      <c r="Q25" s="68"/>
      <c r="R25" s="68">
        <f t="shared" si="4"/>
        <v>972</v>
      </c>
      <c r="S25" s="68"/>
      <c r="T25" s="68">
        <v>972</v>
      </c>
      <c r="U25" s="68"/>
      <c r="V25" s="68"/>
      <c r="W25" s="68"/>
      <c r="X25" s="68"/>
      <c r="Y25" s="68"/>
      <c r="Z25" s="68"/>
      <c r="AA25" s="68"/>
      <c r="AB25" s="68"/>
    </row>
    <row r="26" spans="1:28" ht="13.5" customHeight="1" x14ac:dyDescent="0.2">
      <c r="A26" s="168">
        <v>15</v>
      </c>
      <c r="B26" s="169" t="s">
        <v>209</v>
      </c>
      <c r="C26" s="68">
        <f t="shared" si="1"/>
        <v>7575</v>
      </c>
      <c r="D26" s="68"/>
      <c r="E26" s="170">
        <v>7575</v>
      </c>
      <c r="F26" s="170"/>
      <c r="G26" s="170"/>
      <c r="H26" s="170"/>
      <c r="I26" s="170"/>
      <c r="J26" s="170"/>
      <c r="K26" s="170"/>
      <c r="L26" s="170"/>
      <c r="M26" s="170">
        <f t="shared" si="3"/>
        <v>7463</v>
      </c>
      <c r="N26" s="68"/>
      <c r="O26" s="68">
        <v>7463</v>
      </c>
      <c r="P26" s="68"/>
      <c r="Q26" s="68"/>
      <c r="R26" s="68"/>
      <c r="S26" s="68"/>
      <c r="T26" s="68"/>
      <c r="U26" s="68"/>
      <c r="V26" s="68"/>
      <c r="W26" s="68"/>
      <c r="X26" s="68"/>
      <c r="Y26" s="68"/>
      <c r="Z26" s="68"/>
      <c r="AA26" s="68"/>
      <c r="AB26" s="68"/>
    </row>
    <row r="27" spans="1:28" ht="13.5" customHeight="1" x14ac:dyDescent="0.2">
      <c r="A27" s="168">
        <v>16</v>
      </c>
      <c r="B27" s="169" t="s">
        <v>210</v>
      </c>
      <c r="C27" s="68">
        <f t="shared" si="1"/>
        <v>17483</v>
      </c>
      <c r="D27" s="68"/>
      <c r="E27" s="170">
        <v>17483</v>
      </c>
      <c r="F27" s="170"/>
      <c r="G27" s="170"/>
      <c r="H27" s="170"/>
      <c r="I27" s="170"/>
      <c r="J27" s="170"/>
      <c r="K27" s="170"/>
      <c r="L27" s="170"/>
      <c r="M27" s="170">
        <f t="shared" si="3"/>
        <v>60537</v>
      </c>
      <c r="N27" s="68">
        <v>44478</v>
      </c>
      <c r="O27" s="68">
        <v>16059</v>
      </c>
      <c r="P27" s="68"/>
      <c r="Q27" s="68"/>
      <c r="R27" s="68"/>
      <c r="S27" s="68"/>
      <c r="T27" s="68"/>
      <c r="U27" s="68"/>
      <c r="V27" s="68"/>
      <c r="W27" s="68"/>
      <c r="X27" s="68"/>
      <c r="Y27" s="68"/>
      <c r="Z27" s="68"/>
      <c r="AA27" s="68"/>
      <c r="AB27" s="68"/>
    </row>
    <row r="28" spans="1:28" ht="13.5" customHeight="1" x14ac:dyDescent="0.2">
      <c r="A28" s="168">
        <v>17</v>
      </c>
      <c r="B28" s="169" t="s">
        <v>211</v>
      </c>
      <c r="C28" s="68">
        <f t="shared" si="1"/>
        <v>24668</v>
      </c>
      <c r="D28" s="68"/>
      <c r="E28" s="170">
        <v>24668</v>
      </c>
      <c r="F28" s="170"/>
      <c r="G28" s="170"/>
      <c r="H28" s="170"/>
      <c r="I28" s="170"/>
      <c r="J28" s="170"/>
      <c r="K28" s="170"/>
      <c r="L28" s="170"/>
      <c r="M28" s="170">
        <f t="shared" si="3"/>
        <v>13097</v>
      </c>
      <c r="N28" s="68"/>
      <c r="O28" s="68">
        <f>13097-T28</f>
        <v>8018</v>
      </c>
      <c r="P28" s="68"/>
      <c r="Q28" s="68"/>
      <c r="R28" s="68">
        <f t="shared" si="4"/>
        <v>5079</v>
      </c>
      <c r="S28" s="68"/>
      <c r="T28" s="68">
        <v>5079</v>
      </c>
      <c r="U28" s="68"/>
      <c r="V28" s="68"/>
      <c r="W28" s="68"/>
      <c r="X28" s="68"/>
      <c r="Y28" s="68"/>
      <c r="Z28" s="68"/>
      <c r="AA28" s="68"/>
      <c r="AB28" s="68"/>
    </row>
    <row r="29" spans="1:28" ht="13.5" customHeight="1" x14ac:dyDescent="0.2">
      <c r="A29" s="168">
        <v>18</v>
      </c>
      <c r="B29" s="169" t="s">
        <v>212</v>
      </c>
      <c r="C29" s="68">
        <f t="shared" si="1"/>
        <v>3006</v>
      </c>
      <c r="D29" s="68"/>
      <c r="E29" s="170">
        <v>3006</v>
      </c>
      <c r="F29" s="170"/>
      <c r="G29" s="170"/>
      <c r="H29" s="170"/>
      <c r="I29" s="170"/>
      <c r="J29" s="170"/>
      <c r="K29" s="170"/>
      <c r="L29" s="170"/>
      <c r="M29" s="170">
        <f t="shared" si="3"/>
        <v>2913</v>
      </c>
      <c r="N29" s="68"/>
      <c r="O29" s="68">
        <v>2913</v>
      </c>
      <c r="P29" s="68"/>
      <c r="Q29" s="68"/>
      <c r="R29" s="68">
        <f t="shared" si="4"/>
        <v>0</v>
      </c>
      <c r="S29" s="68"/>
      <c r="T29" s="68"/>
      <c r="U29" s="68"/>
      <c r="V29" s="68"/>
      <c r="W29" s="68"/>
      <c r="X29" s="68"/>
      <c r="Y29" s="68"/>
      <c r="Z29" s="68"/>
      <c r="AA29" s="68"/>
      <c r="AB29" s="68"/>
    </row>
    <row r="30" spans="1:28" ht="21" customHeight="1" x14ac:dyDescent="0.2">
      <c r="A30" s="168">
        <v>19</v>
      </c>
      <c r="B30" s="169" t="s">
        <v>471</v>
      </c>
      <c r="C30" s="68">
        <f t="shared" si="1"/>
        <v>567270</v>
      </c>
      <c r="D30" s="68"/>
      <c r="E30" s="170">
        <f>546064+21206</f>
        <v>567270</v>
      </c>
      <c r="F30" s="170"/>
      <c r="G30" s="170"/>
      <c r="H30" s="170"/>
      <c r="I30" s="170"/>
      <c r="J30" s="170"/>
      <c r="K30" s="170"/>
      <c r="L30" s="170"/>
      <c r="M30" s="170">
        <f t="shared" si="3"/>
        <v>387097</v>
      </c>
      <c r="N30" s="68">
        <v>23494</v>
      </c>
      <c r="O30" s="68">
        <f>412537-T30-48934</f>
        <v>362598</v>
      </c>
      <c r="P30" s="68"/>
      <c r="Q30" s="68"/>
      <c r="R30" s="68">
        <f t="shared" si="4"/>
        <v>1005</v>
      </c>
      <c r="S30" s="68"/>
      <c r="T30" s="68">
        <v>1005</v>
      </c>
      <c r="U30" s="68"/>
      <c r="V30" s="68"/>
      <c r="W30" s="68"/>
      <c r="X30" s="68"/>
      <c r="Y30" s="68"/>
      <c r="Z30" s="68"/>
      <c r="AA30" s="68"/>
      <c r="AB30" s="68"/>
    </row>
    <row r="31" spans="1:28" ht="13.5" customHeight="1" x14ac:dyDescent="0.2">
      <c r="A31" s="168">
        <v>20</v>
      </c>
      <c r="B31" s="169" t="s">
        <v>501</v>
      </c>
      <c r="C31" s="68">
        <f t="shared" si="1"/>
        <v>573839</v>
      </c>
      <c r="D31" s="68"/>
      <c r="E31" s="170">
        <f>573782+57</f>
        <v>573839</v>
      </c>
      <c r="F31" s="170"/>
      <c r="G31" s="170"/>
      <c r="H31" s="170"/>
      <c r="I31" s="170"/>
      <c r="J31" s="170"/>
      <c r="K31" s="170"/>
      <c r="L31" s="170"/>
      <c r="M31" s="170">
        <f t="shared" si="3"/>
        <v>495909</v>
      </c>
      <c r="N31" s="68">
        <v>59511</v>
      </c>
      <c r="O31" s="68">
        <f>458010-T31-21612</f>
        <v>436395</v>
      </c>
      <c r="P31" s="68"/>
      <c r="Q31" s="68"/>
      <c r="R31" s="68">
        <f t="shared" si="4"/>
        <v>3</v>
      </c>
      <c r="S31" s="68"/>
      <c r="T31" s="68">
        <v>3</v>
      </c>
      <c r="U31" s="68"/>
      <c r="V31" s="68"/>
      <c r="W31" s="68"/>
      <c r="X31" s="68"/>
      <c r="Y31" s="68"/>
      <c r="Z31" s="68"/>
      <c r="AA31" s="68"/>
      <c r="AB31" s="68"/>
    </row>
    <row r="32" spans="1:28" ht="13.5" customHeight="1" x14ac:dyDescent="0.2">
      <c r="A32" s="168">
        <v>21</v>
      </c>
      <c r="B32" s="169" t="s">
        <v>213</v>
      </c>
      <c r="C32" s="68">
        <f t="shared" si="1"/>
        <v>223317</v>
      </c>
      <c r="D32" s="68"/>
      <c r="E32" s="170">
        <v>223317</v>
      </c>
      <c r="F32" s="170"/>
      <c r="G32" s="170"/>
      <c r="H32" s="170"/>
      <c r="I32" s="170"/>
      <c r="J32" s="170"/>
      <c r="K32" s="170"/>
      <c r="L32" s="170"/>
      <c r="M32" s="170">
        <f t="shared" si="3"/>
        <v>1181557</v>
      </c>
      <c r="N32" s="68">
        <v>883302</v>
      </c>
      <c r="O32" s="68">
        <f>267392-T32-1184</f>
        <v>249292</v>
      </c>
      <c r="P32" s="68"/>
      <c r="Q32" s="68"/>
      <c r="R32" s="68">
        <f t="shared" si="4"/>
        <v>48963</v>
      </c>
      <c r="S32" s="68">
        <v>32047</v>
      </c>
      <c r="T32" s="68">
        <v>16916</v>
      </c>
      <c r="U32" s="68"/>
      <c r="V32" s="68"/>
      <c r="W32" s="68"/>
      <c r="X32" s="68"/>
      <c r="Y32" s="68"/>
      <c r="Z32" s="68"/>
      <c r="AA32" s="68"/>
      <c r="AB32" s="68"/>
    </row>
    <row r="33" spans="1:28" ht="13.5" customHeight="1" x14ac:dyDescent="0.2">
      <c r="A33" s="168">
        <v>22</v>
      </c>
      <c r="B33" s="169" t="s">
        <v>214</v>
      </c>
      <c r="C33" s="68">
        <f t="shared" si="1"/>
        <v>1500</v>
      </c>
      <c r="D33" s="68"/>
      <c r="E33" s="170">
        <v>1500</v>
      </c>
      <c r="F33" s="170"/>
      <c r="G33" s="170"/>
      <c r="H33" s="170"/>
      <c r="I33" s="170"/>
      <c r="J33" s="170"/>
      <c r="K33" s="170"/>
      <c r="L33" s="170"/>
      <c r="M33" s="170">
        <f t="shared" si="3"/>
        <v>935</v>
      </c>
      <c r="N33" s="68"/>
      <c r="O33" s="68">
        <v>935</v>
      </c>
      <c r="P33" s="68"/>
      <c r="Q33" s="68"/>
      <c r="R33" s="68"/>
      <c r="S33" s="68"/>
      <c r="T33" s="68"/>
      <c r="U33" s="68"/>
      <c r="V33" s="68"/>
      <c r="W33" s="68"/>
      <c r="X33" s="68"/>
      <c r="Y33" s="68"/>
      <c r="Z33" s="68"/>
      <c r="AA33" s="68"/>
      <c r="AB33" s="68"/>
    </row>
    <row r="34" spans="1:28" ht="13.5" customHeight="1" x14ac:dyDescent="0.2">
      <c r="A34" s="168">
        <v>23</v>
      </c>
      <c r="B34" s="169" t="s">
        <v>215</v>
      </c>
      <c r="C34" s="68">
        <f t="shared" si="1"/>
        <v>12803</v>
      </c>
      <c r="D34" s="68"/>
      <c r="E34" s="170">
        <v>12803</v>
      </c>
      <c r="F34" s="170"/>
      <c r="G34" s="170"/>
      <c r="H34" s="170"/>
      <c r="I34" s="170"/>
      <c r="J34" s="170"/>
      <c r="K34" s="170"/>
      <c r="L34" s="170"/>
      <c r="M34" s="170">
        <f t="shared" si="3"/>
        <v>10282</v>
      </c>
      <c r="N34" s="68"/>
      <c r="O34" s="68">
        <f>10332-T34-12</f>
        <v>10282</v>
      </c>
      <c r="P34" s="68"/>
      <c r="Q34" s="68"/>
      <c r="R34" s="68"/>
      <c r="S34" s="68"/>
      <c r="T34" s="68">
        <v>38</v>
      </c>
      <c r="U34" s="68"/>
      <c r="V34" s="68"/>
      <c r="W34" s="68"/>
      <c r="X34" s="68"/>
      <c r="Y34" s="68"/>
      <c r="Z34" s="68"/>
      <c r="AA34" s="68"/>
      <c r="AB34" s="68"/>
    </row>
    <row r="35" spans="1:28" ht="13.5" customHeight="1" x14ac:dyDescent="0.2">
      <c r="A35" s="168">
        <v>24</v>
      </c>
      <c r="B35" s="169" t="s">
        <v>216</v>
      </c>
      <c r="C35" s="68">
        <f t="shared" si="1"/>
        <v>9227</v>
      </c>
      <c r="D35" s="68"/>
      <c r="E35" s="170">
        <v>9227</v>
      </c>
      <c r="F35" s="170"/>
      <c r="G35" s="170"/>
      <c r="H35" s="170"/>
      <c r="I35" s="170"/>
      <c r="J35" s="170"/>
      <c r="K35" s="170"/>
      <c r="L35" s="170"/>
      <c r="M35" s="170">
        <f t="shared" si="3"/>
        <v>8995</v>
      </c>
      <c r="N35" s="68"/>
      <c r="O35" s="68">
        <f>9255-260</f>
        <v>8995</v>
      </c>
      <c r="P35" s="68"/>
      <c r="Q35" s="68"/>
      <c r="R35" s="68"/>
      <c r="S35" s="68"/>
      <c r="T35" s="68"/>
      <c r="U35" s="68"/>
      <c r="V35" s="68"/>
      <c r="W35" s="68"/>
      <c r="X35" s="68"/>
      <c r="Y35" s="68"/>
      <c r="Z35" s="68"/>
      <c r="AA35" s="68"/>
      <c r="AB35" s="68"/>
    </row>
    <row r="36" spans="1:28" ht="13.5" customHeight="1" x14ac:dyDescent="0.2">
      <c r="A36" s="168">
        <v>25</v>
      </c>
      <c r="B36" s="169" t="s">
        <v>217</v>
      </c>
      <c r="C36" s="68">
        <f t="shared" si="1"/>
        <v>10505</v>
      </c>
      <c r="D36" s="68"/>
      <c r="E36" s="170">
        <v>10505</v>
      </c>
      <c r="F36" s="170"/>
      <c r="G36" s="170"/>
      <c r="H36" s="170"/>
      <c r="I36" s="170"/>
      <c r="J36" s="170"/>
      <c r="K36" s="170"/>
      <c r="L36" s="170"/>
      <c r="M36" s="170">
        <f t="shared" si="3"/>
        <v>17805</v>
      </c>
      <c r="N36" s="68"/>
      <c r="O36" s="68">
        <f>19147-1342</f>
        <v>17805</v>
      </c>
      <c r="P36" s="68"/>
      <c r="Q36" s="68"/>
      <c r="R36" s="68"/>
      <c r="S36" s="68"/>
      <c r="T36" s="68"/>
      <c r="U36" s="68"/>
      <c r="V36" s="68"/>
      <c r="W36" s="68"/>
      <c r="X36" s="68"/>
      <c r="Y36" s="68"/>
      <c r="Z36" s="68"/>
      <c r="AA36" s="68"/>
      <c r="AB36" s="68"/>
    </row>
    <row r="37" spans="1:28" ht="13.5" customHeight="1" x14ac:dyDescent="0.2">
      <c r="A37" s="168">
        <v>26</v>
      </c>
      <c r="B37" s="169" t="s">
        <v>218</v>
      </c>
      <c r="C37" s="68">
        <f t="shared" si="1"/>
        <v>84856</v>
      </c>
      <c r="D37" s="68"/>
      <c r="E37" s="170">
        <v>84856</v>
      </c>
      <c r="F37" s="170"/>
      <c r="G37" s="170"/>
      <c r="H37" s="170"/>
      <c r="I37" s="170"/>
      <c r="J37" s="170"/>
      <c r="K37" s="170"/>
      <c r="L37" s="170"/>
      <c r="M37" s="170">
        <f t="shared" si="3"/>
        <v>65461</v>
      </c>
      <c r="N37" s="68">
        <v>5006</v>
      </c>
      <c r="O37" s="68">
        <f>60613-158</f>
        <v>60455</v>
      </c>
      <c r="P37" s="68"/>
      <c r="Q37" s="68"/>
      <c r="R37" s="68"/>
      <c r="S37" s="68"/>
      <c r="T37" s="68"/>
      <c r="U37" s="68"/>
      <c r="V37" s="68"/>
      <c r="W37" s="68"/>
      <c r="X37" s="68"/>
      <c r="Y37" s="68"/>
      <c r="Z37" s="68"/>
      <c r="AA37" s="68"/>
      <c r="AB37" s="68"/>
    </row>
    <row r="38" spans="1:28" ht="13.5" customHeight="1" x14ac:dyDescent="0.2">
      <c r="A38" s="168">
        <v>27</v>
      </c>
      <c r="B38" s="169" t="s">
        <v>219</v>
      </c>
      <c r="C38" s="68">
        <f t="shared" si="1"/>
        <v>16597</v>
      </c>
      <c r="D38" s="68"/>
      <c r="E38" s="170">
        <v>16597</v>
      </c>
      <c r="F38" s="170"/>
      <c r="G38" s="170"/>
      <c r="H38" s="170"/>
      <c r="I38" s="170"/>
      <c r="J38" s="170"/>
      <c r="K38" s="170"/>
      <c r="L38" s="170"/>
      <c r="M38" s="170">
        <f t="shared" si="3"/>
        <v>15121</v>
      </c>
      <c r="N38" s="68"/>
      <c r="O38" s="68">
        <f>15441-320</f>
        <v>15121</v>
      </c>
      <c r="P38" s="68"/>
      <c r="Q38" s="68"/>
      <c r="R38" s="68"/>
      <c r="S38" s="68"/>
      <c r="T38" s="68"/>
      <c r="U38" s="68"/>
      <c r="V38" s="68"/>
      <c r="W38" s="68"/>
      <c r="X38" s="68"/>
      <c r="Y38" s="68"/>
      <c r="Z38" s="68"/>
      <c r="AA38" s="68"/>
      <c r="AB38" s="68"/>
    </row>
    <row r="39" spans="1:28" ht="13.5" customHeight="1" x14ac:dyDescent="0.2">
      <c r="A39" s="168">
        <v>28</v>
      </c>
      <c r="B39" s="169" t="s">
        <v>220</v>
      </c>
      <c r="C39" s="68">
        <f t="shared" si="1"/>
        <v>1132</v>
      </c>
      <c r="D39" s="68"/>
      <c r="E39" s="170">
        <v>1132</v>
      </c>
      <c r="F39" s="170"/>
      <c r="G39" s="170"/>
      <c r="H39" s="170"/>
      <c r="I39" s="170"/>
      <c r="J39" s="170"/>
      <c r="K39" s="170"/>
      <c r="L39" s="170"/>
      <c r="M39" s="170">
        <f t="shared" si="3"/>
        <v>1018</v>
      </c>
      <c r="N39" s="68"/>
      <c r="O39" s="68">
        <v>1018</v>
      </c>
      <c r="P39" s="68"/>
      <c r="Q39" s="68"/>
      <c r="R39" s="68"/>
      <c r="S39" s="68"/>
      <c r="T39" s="68"/>
      <c r="U39" s="68"/>
      <c r="V39" s="68"/>
      <c r="W39" s="68"/>
      <c r="X39" s="68"/>
      <c r="Y39" s="68"/>
      <c r="Z39" s="68"/>
      <c r="AA39" s="68"/>
      <c r="AB39" s="68"/>
    </row>
    <row r="40" spans="1:28" ht="13.5" customHeight="1" x14ac:dyDescent="0.2">
      <c r="A40" s="168">
        <v>29</v>
      </c>
      <c r="B40" s="169" t="s">
        <v>221</v>
      </c>
      <c r="C40" s="68">
        <f t="shared" si="1"/>
        <v>2150</v>
      </c>
      <c r="D40" s="68"/>
      <c r="E40" s="170">
        <v>2150</v>
      </c>
      <c r="F40" s="170"/>
      <c r="G40" s="170"/>
      <c r="H40" s="170"/>
      <c r="I40" s="170"/>
      <c r="J40" s="170"/>
      <c r="K40" s="170"/>
      <c r="L40" s="170"/>
      <c r="M40" s="170">
        <f t="shared" si="3"/>
        <v>1024</v>
      </c>
      <c r="N40" s="68"/>
      <c r="O40" s="68">
        <v>1024</v>
      </c>
      <c r="P40" s="68"/>
      <c r="Q40" s="68"/>
      <c r="R40" s="68"/>
      <c r="S40" s="68"/>
      <c r="T40" s="68"/>
      <c r="U40" s="68"/>
      <c r="V40" s="68"/>
      <c r="W40" s="68"/>
      <c r="X40" s="68"/>
      <c r="Y40" s="68"/>
      <c r="Z40" s="68"/>
      <c r="AA40" s="68"/>
      <c r="AB40" s="68"/>
    </row>
    <row r="41" spans="1:28" ht="13.5" customHeight="1" x14ac:dyDescent="0.2">
      <c r="A41" s="168">
        <v>30</v>
      </c>
      <c r="B41" s="169" t="s">
        <v>457</v>
      </c>
      <c r="C41" s="68">
        <f t="shared" si="1"/>
        <v>458</v>
      </c>
      <c r="D41" s="68"/>
      <c r="E41" s="170">
        <v>458</v>
      </c>
      <c r="F41" s="170"/>
      <c r="G41" s="170"/>
      <c r="H41" s="170"/>
      <c r="I41" s="170"/>
      <c r="J41" s="170"/>
      <c r="K41" s="170"/>
      <c r="L41" s="170"/>
      <c r="M41" s="170">
        <f t="shared" si="3"/>
        <v>481</v>
      </c>
      <c r="N41" s="68"/>
      <c r="O41" s="68">
        <f>482-1</f>
        <v>481</v>
      </c>
      <c r="P41" s="68"/>
      <c r="Q41" s="68"/>
      <c r="R41" s="68"/>
      <c r="S41" s="68"/>
      <c r="T41" s="68"/>
      <c r="U41" s="68"/>
      <c r="V41" s="68"/>
      <c r="W41" s="68"/>
      <c r="X41" s="68"/>
      <c r="Y41" s="68"/>
      <c r="Z41" s="68"/>
      <c r="AA41" s="68"/>
      <c r="AB41" s="68"/>
    </row>
    <row r="42" spans="1:28" ht="13.5" customHeight="1" x14ac:dyDescent="0.2">
      <c r="A42" s="168">
        <v>31</v>
      </c>
      <c r="B42" s="169" t="s">
        <v>222</v>
      </c>
      <c r="C42" s="68">
        <f t="shared" si="1"/>
        <v>579</v>
      </c>
      <c r="D42" s="68"/>
      <c r="E42" s="170">
        <v>579</v>
      </c>
      <c r="F42" s="170"/>
      <c r="G42" s="170"/>
      <c r="H42" s="170"/>
      <c r="I42" s="170"/>
      <c r="J42" s="170"/>
      <c r="K42" s="170"/>
      <c r="L42" s="170"/>
      <c r="M42" s="170">
        <f t="shared" si="3"/>
        <v>545</v>
      </c>
      <c r="N42" s="68"/>
      <c r="O42" s="68">
        <f>550-5</f>
        <v>545</v>
      </c>
      <c r="P42" s="68"/>
      <c r="Q42" s="68"/>
      <c r="R42" s="68"/>
      <c r="S42" s="68"/>
      <c r="T42" s="68"/>
      <c r="U42" s="68"/>
      <c r="V42" s="68"/>
      <c r="W42" s="68"/>
      <c r="X42" s="68"/>
      <c r="Y42" s="68"/>
      <c r="Z42" s="68"/>
      <c r="AA42" s="68"/>
      <c r="AB42" s="68"/>
    </row>
    <row r="43" spans="1:28" ht="13.5" customHeight="1" x14ac:dyDescent="0.2">
      <c r="A43" s="168">
        <v>32</v>
      </c>
      <c r="B43" s="169" t="s">
        <v>223</v>
      </c>
      <c r="C43" s="68">
        <f t="shared" si="1"/>
        <v>605</v>
      </c>
      <c r="D43" s="68"/>
      <c r="E43" s="170">
        <v>605</v>
      </c>
      <c r="F43" s="170"/>
      <c r="G43" s="170"/>
      <c r="H43" s="170"/>
      <c r="I43" s="170"/>
      <c r="J43" s="170"/>
      <c r="K43" s="170"/>
      <c r="L43" s="170"/>
      <c r="M43" s="170">
        <f t="shared" si="3"/>
        <v>495</v>
      </c>
      <c r="N43" s="68"/>
      <c r="O43" s="68">
        <v>495</v>
      </c>
      <c r="P43" s="68"/>
      <c r="Q43" s="68"/>
      <c r="R43" s="68"/>
      <c r="S43" s="68"/>
      <c r="T43" s="68"/>
      <c r="U43" s="68"/>
      <c r="V43" s="68"/>
      <c r="W43" s="68"/>
      <c r="X43" s="68"/>
      <c r="Y43" s="68"/>
      <c r="Z43" s="68"/>
      <c r="AA43" s="68"/>
      <c r="AB43" s="68"/>
    </row>
    <row r="44" spans="1:28" ht="13.5" customHeight="1" x14ac:dyDescent="0.2">
      <c r="A44" s="168">
        <v>33</v>
      </c>
      <c r="B44" s="169" t="s">
        <v>224</v>
      </c>
      <c r="C44" s="68">
        <f t="shared" si="1"/>
        <v>5767</v>
      </c>
      <c r="D44" s="68"/>
      <c r="E44" s="170">
        <v>5767</v>
      </c>
      <c r="F44" s="170"/>
      <c r="G44" s="170"/>
      <c r="H44" s="170"/>
      <c r="I44" s="170"/>
      <c r="J44" s="170"/>
      <c r="K44" s="170"/>
      <c r="L44" s="170"/>
      <c r="M44" s="170">
        <f t="shared" si="3"/>
        <v>4884</v>
      </c>
      <c r="N44" s="68"/>
      <c r="O44" s="68">
        <f>4884-T44</f>
        <v>4864</v>
      </c>
      <c r="P44" s="68"/>
      <c r="Q44" s="68"/>
      <c r="R44" s="68">
        <f t="shared" si="4"/>
        <v>20</v>
      </c>
      <c r="S44" s="68"/>
      <c r="T44" s="68">
        <v>20</v>
      </c>
      <c r="U44" s="68"/>
      <c r="V44" s="68"/>
      <c r="W44" s="68"/>
      <c r="X44" s="68"/>
      <c r="Y44" s="68"/>
      <c r="Z44" s="68"/>
      <c r="AA44" s="68"/>
      <c r="AB44" s="68"/>
    </row>
    <row r="45" spans="1:28" ht="13.5" customHeight="1" x14ac:dyDescent="0.2">
      <c r="A45" s="168">
        <v>34</v>
      </c>
      <c r="B45" s="169" t="s">
        <v>225</v>
      </c>
      <c r="C45" s="68">
        <f t="shared" si="1"/>
        <v>6217</v>
      </c>
      <c r="D45" s="68"/>
      <c r="E45" s="170">
        <v>6217</v>
      </c>
      <c r="F45" s="170"/>
      <c r="G45" s="170"/>
      <c r="H45" s="170"/>
      <c r="I45" s="170"/>
      <c r="J45" s="170"/>
      <c r="K45" s="170"/>
      <c r="L45" s="170"/>
      <c r="M45" s="170">
        <f t="shared" si="3"/>
        <v>9973</v>
      </c>
      <c r="N45" s="68">
        <v>2686</v>
      </c>
      <c r="O45" s="68">
        <v>7287</v>
      </c>
      <c r="P45" s="68"/>
      <c r="Q45" s="68"/>
      <c r="R45" s="68"/>
      <c r="S45" s="68"/>
      <c r="T45" s="68"/>
      <c r="U45" s="68"/>
      <c r="V45" s="68"/>
      <c r="W45" s="68"/>
      <c r="X45" s="68"/>
      <c r="Y45" s="68"/>
      <c r="Z45" s="68"/>
      <c r="AA45" s="68"/>
      <c r="AB45" s="68"/>
    </row>
    <row r="46" spans="1:28" ht="13.5" customHeight="1" x14ac:dyDescent="0.2">
      <c r="A46" s="168">
        <v>35</v>
      </c>
      <c r="B46" s="169" t="s">
        <v>226</v>
      </c>
      <c r="C46" s="68">
        <f t="shared" si="1"/>
        <v>3487</v>
      </c>
      <c r="D46" s="68"/>
      <c r="E46" s="170">
        <v>3487</v>
      </c>
      <c r="F46" s="170"/>
      <c r="G46" s="170"/>
      <c r="H46" s="170"/>
      <c r="I46" s="170"/>
      <c r="J46" s="170"/>
      <c r="K46" s="170"/>
      <c r="L46" s="170"/>
      <c r="M46" s="170">
        <f t="shared" si="3"/>
        <v>3655</v>
      </c>
      <c r="N46" s="68"/>
      <c r="O46" s="68">
        <v>3655</v>
      </c>
      <c r="P46" s="68"/>
      <c r="Q46" s="68"/>
      <c r="R46" s="68"/>
      <c r="S46" s="68"/>
      <c r="T46" s="68"/>
      <c r="U46" s="68"/>
      <c r="V46" s="68"/>
      <c r="W46" s="68"/>
      <c r="X46" s="68"/>
      <c r="Y46" s="68"/>
      <c r="Z46" s="68"/>
      <c r="AA46" s="68"/>
      <c r="AB46" s="68"/>
    </row>
    <row r="47" spans="1:28" ht="24.75" customHeight="1" x14ac:dyDescent="0.2">
      <c r="A47" s="168">
        <v>36</v>
      </c>
      <c r="B47" s="169" t="s">
        <v>499</v>
      </c>
      <c r="C47" s="68">
        <f t="shared" si="1"/>
        <v>3941</v>
      </c>
      <c r="D47" s="68"/>
      <c r="E47" s="170">
        <v>3941</v>
      </c>
      <c r="F47" s="170"/>
      <c r="G47" s="170"/>
      <c r="H47" s="170"/>
      <c r="I47" s="170"/>
      <c r="J47" s="170"/>
      <c r="K47" s="170"/>
      <c r="L47" s="170"/>
      <c r="M47" s="170">
        <f t="shared" si="3"/>
        <v>4515</v>
      </c>
      <c r="N47" s="68">
        <v>7</v>
      </c>
      <c r="O47" s="68">
        <v>4508</v>
      </c>
      <c r="P47" s="68"/>
      <c r="Q47" s="68"/>
      <c r="R47" s="68"/>
      <c r="S47" s="68"/>
      <c r="T47" s="68"/>
      <c r="U47" s="68"/>
      <c r="V47" s="68"/>
      <c r="W47" s="68"/>
      <c r="X47" s="68"/>
      <c r="Y47" s="68"/>
      <c r="Z47" s="68"/>
      <c r="AA47" s="68"/>
      <c r="AB47" s="68"/>
    </row>
    <row r="48" spans="1:28" ht="13.5" customHeight="1" x14ac:dyDescent="0.2">
      <c r="A48" s="168">
        <v>37</v>
      </c>
      <c r="B48" s="169" t="s">
        <v>227</v>
      </c>
      <c r="C48" s="68">
        <f t="shared" si="1"/>
        <v>2115</v>
      </c>
      <c r="D48" s="68"/>
      <c r="E48" s="170">
        <v>2115</v>
      </c>
      <c r="F48" s="170"/>
      <c r="G48" s="170"/>
      <c r="H48" s="170"/>
      <c r="I48" s="170"/>
      <c r="J48" s="170"/>
      <c r="K48" s="170"/>
      <c r="L48" s="170"/>
      <c r="M48" s="170">
        <f t="shared" si="3"/>
        <v>1879</v>
      </c>
      <c r="N48" s="68"/>
      <c r="O48" s="68">
        <v>1879</v>
      </c>
      <c r="P48" s="68"/>
      <c r="Q48" s="68"/>
      <c r="R48" s="68"/>
      <c r="S48" s="68"/>
      <c r="T48" s="68"/>
      <c r="U48" s="68"/>
      <c r="V48" s="68"/>
      <c r="W48" s="68"/>
      <c r="X48" s="68"/>
      <c r="Y48" s="68"/>
      <c r="Z48" s="68"/>
      <c r="AA48" s="68"/>
      <c r="AB48" s="68"/>
    </row>
    <row r="49" spans="1:30" ht="13.5" customHeight="1" x14ac:dyDescent="0.2">
      <c r="A49" s="168">
        <v>38</v>
      </c>
      <c r="B49" s="169" t="s">
        <v>228</v>
      </c>
      <c r="C49" s="68">
        <f t="shared" si="1"/>
        <v>2340</v>
      </c>
      <c r="D49" s="68"/>
      <c r="E49" s="170">
        <v>2340</v>
      </c>
      <c r="F49" s="170"/>
      <c r="G49" s="170"/>
      <c r="H49" s="170"/>
      <c r="I49" s="170"/>
      <c r="J49" s="170"/>
      <c r="K49" s="170"/>
      <c r="L49" s="170"/>
      <c r="M49" s="170">
        <f t="shared" si="3"/>
        <v>5889</v>
      </c>
      <c r="N49" s="68">
        <v>3555</v>
      </c>
      <c r="O49" s="68">
        <f>2373-39</f>
        <v>2334</v>
      </c>
      <c r="P49" s="68"/>
      <c r="Q49" s="68"/>
      <c r="R49" s="68"/>
      <c r="S49" s="68"/>
      <c r="T49" s="68"/>
      <c r="U49" s="68"/>
      <c r="V49" s="68"/>
      <c r="W49" s="68"/>
      <c r="X49" s="68"/>
      <c r="Y49" s="68"/>
      <c r="Z49" s="68"/>
      <c r="AA49" s="68"/>
      <c r="AB49" s="68"/>
    </row>
    <row r="50" spans="1:30" ht="13.5" customHeight="1" x14ac:dyDescent="0.2">
      <c r="A50" s="168">
        <v>39</v>
      </c>
      <c r="B50" s="169" t="s">
        <v>229</v>
      </c>
      <c r="C50" s="68">
        <f t="shared" si="1"/>
        <v>1220</v>
      </c>
      <c r="D50" s="68"/>
      <c r="E50" s="170">
        <v>1220</v>
      </c>
      <c r="F50" s="170"/>
      <c r="G50" s="170"/>
      <c r="H50" s="170"/>
      <c r="I50" s="170"/>
      <c r="J50" s="170"/>
      <c r="K50" s="170"/>
      <c r="L50" s="170"/>
      <c r="M50" s="170">
        <f t="shared" si="3"/>
        <v>811</v>
      </c>
      <c r="N50" s="68"/>
      <c r="O50" s="68">
        <v>811</v>
      </c>
      <c r="P50" s="68"/>
      <c r="Q50" s="68"/>
      <c r="R50" s="68"/>
      <c r="S50" s="68"/>
      <c r="T50" s="68"/>
      <c r="U50" s="68"/>
      <c r="V50" s="68"/>
      <c r="W50" s="68"/>
      <c r="X50" s="68"/>
      <c r="Y50" s="68"/>
      <c r="Z50" s="68"/>
      <c r="AA50" s="68"/>
      <c r="AB50" s="68"/>
    </row>
    <row r="51" spans="1:30" ht="13.5" customHeight="1" x14ac:dyDescent="0.2">
      <c r="A51" s="168">
        <v>40</v>
      </c>
      <c r="B51" s="169" t="s">
        <v>230</v>
      </c>
      <c r="C51" s="68">
        <f t="shared" si="1"/>
        <v>1638</v>
      </c>
      <c r="D51" s="68"/>
      <c r="E51" s="170">
        <v>1638</v>
      </c>
      <c r="F51" s="170"/>
      <c r="G51" s="170"/>
      <c r="H51" s="170"/>
      <c r="I51" s="170"/>
      <c r="J51" s="170"/>
      <c r="K51" s="170"/>
      <c r="L51" s="170"/>
      <c r="M51" s="170">
        <f t="shared" si="3"/>
        <v>1312</v>
      </c>
      <c r="N51" s="68"/>
      <c r="O51" s="68">
        <v>1312</v>
      </c>
      <c r="P51" s="68"/>
      <c r="Q51" s="68"/>
      <c r="R51" s="68"/>
      <c r="S51" s="68"/>
      <c r="T51" s="68"/>
      <c r="U51" s="68"/>
      <c r="V51" s="68"/>
      <c r="W51" s="68"/>
      <c r="X51" s="68"/>
      <c r="Y51" s="68"/>
      <c r="Z51" s="68"/>
      <c r="AA51" s="68"/>
      <c r="AB51" s="68"/>
    </row>
    <row r="52" spans="1:30" ht="13.5" customHeight="1" x14ac:dyDescent="0.2">
      <c r="A52" s="168">
        <v>41</v>
      </c>
      <c r="B52" s="169" t="s">
        <v>231</v>
      </c>
      <c r="C52" s="68">
        <f t="shared" si="1"/>
        <v>712</v>
      </c>
      <c r="D52" s="67"/>
      <c r="E52" s="170">
        <v>712</v>
      </c>
      <c r="F52" s="170"/>
      <c r="G52" s="170"/>
      <c r="H52" s="170"/>
      <c r="I52" s="170"/>
      <c r="J52" s="170"/>
      <c r="K52" s="170"/>
      <c r="L52" s="170"/>
      <c r="M52" s="170">
        <f t="shared" si="3"/>
        <v>755</v>
      </c>
      <c r="N52" s="68"/>
      <c r="O52" s="68">
        <v>755</v>
      </c>
      <c r="P52" s="68"/>
      <c r="Q52" s="68"/>
      <c r="R52" s="68"/>
      <c r="S52" s="68"/>
      <c r="T52" s="68"/>
      <c r="U52" s="68"/>
      <c r="V52" s="68"/>
      <c r="W52" s="68"/>
      <c r="X52" s="68"/>
      <c r="Y52" s="68"/>
      <c r="Z52" s="68"/>
      <c r="AA52" s="68"/>
      <c r="AB52" s="68"/>
    </row>
    <row r="53" spans="1:30" ht="13.5" customHeight="1" x14ac:dyDescent="0.2">
      <c r="A53" s="168">
        <v>42</v>
      </c>
      <c r="B53" s="169" t="s">
        <v>232</v>
      </c>
      <c r="C53" s="68">
        <f t="shared" si="1"/>
        <v>1478</v>
      </c>
      <c r="D53" s="67"/>
      <c r="E53" s="170">
        <v>1478</v>
      </c>
      <c r="F53" s="170"/>
      <c r="G53" s="170"/>
      <c r="H53" s="170"/>
      <c r="I53" s="170"/>
      <c r="J53" s="170"/>
      <c r="K53" s="170"/>
      <c r="L53" s="170"/>
      <c r="M53" s="170">
        <f t="shared" si="3"/>
        <v>1874</v>
      </c>
      <c r="N53" s="68"/>
      <c r="O53" s="68">
        <f>1946-72</f>
        <v>1874</v>
      </c>
      <c r="P53" s="68"/>
      <c r="Q53" s="68"/>
      <c r="R53" s="68"/>
      <c r="S53" s="68"/>
      <c r="T53" s="68"/>
      <c r="U53" s="68"/>
      <c r="V53" s="68"/>
      <c r="W53" s="68"/>
      <c r="X53" s="68"/>
      <c r="Y53" s="68"/>
      <c r="Z53" s="68"/>
      <c r="AA53" s="68"/>
      <c r="AB53" s="68"/>
    </row>
    <row r="54" spans="1:30" ht="24.75" customHeight="1" x14ac:dyDescent="0.2">
      <c r="A54" s="168">
        <v>43</v>
      </c>
      <c r="B54" s="169" t="s">
        <v>502</v>
      </c>
      <c r="C54" s="68">
        <f t="shared" si="1"/>
        <v>2820</v>
      </c>
      <c r="D54" s="67"/>
      <c r="E54" s="170">
        <v>2820</v>
      </c>
      <c r="F54" s="170"/>
      <c r="G54" s="170"/>
      <c r="H54" s="170"/>
      <c r="I54" s="170"/>
      <c r="J54" s="170"/>
      <c r="K54" s="170"/>
      <c r="L54" s="170"/>
      <c r="M54" s="170">
        <f t="shared" si="3"/>
        <v>3128</v>
      </c>
      <c r="N54" s="68"/>
      <c r="O54" s="68">
        <v>3128</v>
      </c>
      <c r="P54" s="68"/>
      <c r="Q54" s="68"/>
      <c r="R54" s="68"/>
      <c r="S54" s="68"/>
      <c r="T54" s="68"/>
      <c r="U54" s="68"/>
      <c r="V54" s="68"/>
      <c r="W54" s="68"/>
      <c r="X54" s="68"/>
      <c r="Y54" s="68"/>
      <c r="Z54" s="68"/>
      <c r="AA54" s="68"/>
      <c r="AB54" s="68"/>
    </row>
    <row r="55" spans="1:30" ht="13.5" customHeight="1" x14ac:dyDescent="0.2">
      <c r="A55" s="168">
        <v>44</v>
      </c>
      <c r="B55" s="169" t="s">
        <v>233</v>
      </c>
      <c r="C55" s="68">
        <f t="shared" si="1"/>
        <v>340</v>
      </c>
      <c r="D55" s="67"/>
      <c r="E55" s="170">
        <v>340</v>
      </c>
      <c r="F55" s="170"/>
      <c r="G55" s="170"/>
      <c r="H55" s="170"/>
      <c r="I55" s="170"/>
      <c r="J55" s="170"/>
      <c r="K55" s="170"/>
      <c r="L55" s="170"/>
      <c r="M55" s="170">
        <f t="shared" si="3"/>
        <v>321</v>
      </c>
      <c r="N55" s="68"/>
      <c r="O55" s="68">
        <f>322-1</f>
        <v>321</v>
      </c>
      <c r="P55" s="68"/>
      <c r="Q55" s="68"/>
      <c r="R55" s="68"/>
      <c r="S55" s="68"/>
      <c r="T55" s="68"/>
      <c r="U55" s="68"/>
      <c r="V55" s="68"/>
      <c r="W55" s="68"/>
      <c r="X55" s="68"/>
      <c r="Y55" s="68"/>
      <c r="Z55" s="68"/>
      <c r="AA55" s="68"/>
      <c r="AB55" s="68"/>
    </row>
    <row r="56" spans="1:30" ht="13.5" customHeight="1" x14ac:dyDescent="0.2">
      <c r="A56" s="168">
        <v>45</v>
      </c>
      <c r="B56" s="169" t="s">
        <v>234</v>
      </c>
      <c r="C56" s="68">
        <f t="shared" si="1"/>
        <v>604</v>
      </c>
      <c r="D56" s="67"/>
      <c r="E56" s="170">
        <v>604</v>
      </c>
      <c r="F56" s="170"/>
      <c r="G56" s="170"/>
      <c r="H56" s="170"/>
      <c r="I56" s="170"/>
      <c r="J56" s="170"/>
      <c r="K56" s="170"/>
      <c r="L56" s="170"/>
      <c r="M56" s="170">
        <f t="shared" si="3"/>
        <v>434</v>
      </c>
      <c r="N56" s="68"/>
      <c r="O56" s="68">
        <f>437-3</f>
        <v>434</v>
      </c>
      <c r="P56" s="68"/>
      <c r="Q56" s="68"/>
      <c r="R56" s="68"/>
      <c r="S56" s="68"/>
      <c r="T56" s="68"/>
      <c r="U56" s="68"/>
      <c r="V56" s="68"/>
      <c r="W56" s="68"/>
      <c r="X56" s="68"/>
      <c r="Y56" s="68"/>
      <c r="Z56" s="68"/>
      <c r="AA56" s="68"/>
      <c r="AB56" s="68"/>
    </row>
    <row r="57" spans="1:30" ht="13.5" customHeight="1" x14ac:dyDescent="0.2">
      <c r="A57" s="168">
        <v>46</v>
      </c>
      <c r="B57" s="169" t="s">
        <v>235</v>
      </c>
      <c r="C57" s="68">
        <f t="shared" si="1"/>
        <v>570</v>
      </c>
      <c r="D57" s="67"/>
      <c r="E57" s="170">
        <v>570</v>
      </c>
      <c r="F57" s="170"/>
      <c r="G57" s="170"/>
      <c r="H57" s="170"/>
      <c r="I57" s="170"/>
      <c r="J57" s="170"/>
      <c r="K57" s="170"/>
      <c r="L57" s="170"/>
      <c r="M57" s="170">
        <f t="shared" si="3"/>
        <v>384</v>
      </c>
      <c r="N57" s="68"/>
      <c r="O57" s="68">
        <f>386-2</f>
        <v>384</v>
      </c>
      <c r="P57" s="68"/>
      <c r="Q57" s="68"/>
      <c r="R57" s="68"/>
      <c r="S57" s="68"/>
      <c r="T57" s="68"/>
      <c r="U57" s="68"/>
      <c r="V57" s="68"/>
      <c r="W57" s="68"/>
      <c r="X57" s="68"/>
      <c r="Y57" s="68"/>
      <c r="Z57" s="68"/>
      <c r="AA57" s="68"/>
      <c r="AB57" s="68"/>
    </row>
    <row r="58" spans="1:30" ht="13.5" customHeight="1" x14ac:dyDescent="0.2">
      <c r="A58" s="168">
        <v>47</v>
      </c>
      <c r="B58" s="169" t="s">
        <v>236</v>
      </c>
      <c r="C58" s="68">
        <f t="shared" si="1"/>
        <v>477</v>
      </c>
      <c r="D58" s="67"/>
      <c r="E58" s="170">
        <v>477</v>
      </c>
      <c r="F58" s="170"/>
      <c r="G58" s="170"/>
      <c r="H58" s="170"/>
      <c r="I58" s="170"/>
      <c r="J58" s="170"/>
      <c r="K58" s="170"/>
      <c r="L58" s="170"/>
      <c r="M58" s="170">
        <f t="shared" si="3"/>
        <v>464</v>
      </c>
      <c r="N58" s="68"/>
      <c r="O58" s="68">
        <v>464</v>
      </c>
      <c r="P58" s="68"/>
      <c r="Q58" s="68"/>
      <c r="R58" s="68"/>
      <c r="S58" s="68"/>
      <c r="T58" s="68"/>
      <c r="U58" s="68"/>
      <c r="V58" s="68"/>
      <c r="W58" s="68"/>
      <c r="X58" s="68"/>
      <c r="Y58" s="68"/>
      <c r="Z58" s="68"/>
      <c r="AA58" s="68"/>
      <c r="AB58" s="68"/>
    </row>
    <row r="59" spans="1:30" ht="13.5" customHeight="1" x14ac:dyDescent="0.2">
      <c r="A59" s="168">
        <v>48</v>
      </c>
      <c r="B59" s="169" t="s">
        <v>240</v>
      </c>
      <c r="C59" s="68">
        <f t="shared" si="1"/>
        <v>2250</v>
      </c>
      <c r="D59" s="67"/>
      <c r="E59" s="170">
        <v>2250</v>
      </c>
      <c r="F59" s="170"/>
      <c r="G59" s="170"/>
      <c r="H59" s="170"/>
      <c r="I59" s="170"/>
      <c r="J59" s="170"/>
      <c r="K59" s="170"/>
      <c r="L59" s="170"/>
      <c r="M59" s="170">
        <f t="shared" si="3"/>
        <v>2217</v>
      </c>
      <c r="N59" s="68"/>
      <c r="O59" s="68">
        <f>2217-T59</f>
        <v>2088</v>
      </c>
      <c r="P59" s="68"/>
      <c r="Q59" s="68"/>
      <c r="R59" s="68">
        <f t="shared" si="4"/>
        <v>129</v>
      </c>
      <c r="S59" s="68"/>
      <c r="T59" s="68">
        <v>129</v>
      </c>
      <c r="U59" s="68"/>
      <c r="V59" s="68"/>
      <c r="W59" s="68"/>
      <c r="X59" s="68"/>
      <c r="Y59" s="68"/>
      <c r="Z59" s="68"/>
      <c r="AA59" s="68"/>
      <c r="AB59" s="68"/>
      <c r="AD59" s="164">
        <f>2074762-1808762</f>
        <v>266000</v>
      </c>
    </row>
    <row r="60" spans="1:30" ht="13.5" customHeight="1" x14ac:dyDescent="0.2">
      <c r="A60" s="168">
        <v>49</v>
      </c>
      <c r="B60" s="169" t="s">
        <v>458</v>
      </c>
      <c r="C60" s="68">
        <f t="shared" si="1"/>
        <v>137850</v>
      </c>
      <c r="D60" s="68"/>
      <c r="E60" s="170">
        <f>46600+71400+19850</f>
        <v>137850</v>
      </c>
      <c r="F60" s="170"/>
      <c r="G60" s="170"/>
      <c r="H60" s="170"/>
      <c r="I60" s="170"/>
      <c r="J60" s="170"/>
      <c r="K60" s="170"/>
      <c r="L60" s="170"/>
      <c r="M60" s="170">
        <f t="shared" si="3"/>
        <v>1605974</v>
      </c>
      <c r="N60" s="68">
        <f>2207+7801+13145+10086+6536+1313913</f>
        <v>1353688</v>
      </c>
      <c r="O60" s="68">
        <f>225+30+85+307-T60+162566+89073</f>
        <v>251979</v>
      </c>
      <c r="P60" s="68"/>
      <c r="Q60" s="68"/>
      <c r="R60" s="68">
        <f t="shared" si="4"/>
        <v>307</v>
      </c>
      <c r="S60" s="68"/>
      <c r="T60" s="68">
        <v>307</v>
      </c>
      <c r="U60" s="68"/>
      <c r="V60" s="68"/>
      <c r="W60" s="68"/>
      <c r="X60" s="68"/>
      <c r="Y60" s="68"/>
      <c r="Z60" s="68"/>
      <c r="AA60" s="68"/>
      <c r="AB60" s="68"/>
    </row>
    <row r="61" spans="1:30" ht="13.5" customHeight="1" x14ac:dyDescent="0.2">
      <c r="A61" s="168">
        <v>50</v>
      </c>
      <c r="B61" s="169" t="s">
        <v>237</v>
      </c>
      <c r="C61" s="68">
        <f>D61+E61+F61+G61</f>
        <v>1732035</v>
      </c>
      <c r="D61" s="68"/>
      <c r="E61" s="170">
        <f>55025+1000+23242+5000+2473+51716+25525+6000+7000+137135+15000+7000+10000+1000+15000+17000+2000+2800+2260</f>
        <v>386176</v>
      </c>
      <c r="F61" s="170">
        <v>248129</v>
      </c>
      <c r="G61" s="170">
        <f>1345859-248129</f>
        <v>1097730</v>
      </c>
      <c r="H61" s="170"/>
      <c r="I61" s="170"/>
      <c r="J61" s="170"/>
      <c r="K61" s="170"/>
      <c r="L61" s="170"/>
      <c r="M61" s="170">
        <f t="shared" si="3"/>
        <v>587312</v>
      </c>
      <c r="N61" s="68">
        <v>29000</v>
      </c>
      <c r="O61" s="68">
        <f>849804-162566-89073-27177-12676</f>
        <v>558312</v>
      </c>
      <c r="P61" s="68"/>
      <c r="Q61" s="68"/>
      <c r="R61" s="68"/>
      <c r="S61" s="68"/>
      <c r="T61" s="68"/>
      <c r="U61" s="68"/>
      <c r="V61" s="68">
        <v>516474</v>
      </c>
      <c r="W61" s="68"/>
      <c r="X61" s="68"/>
      <c r="Y61" s="68"/>
      <c r="Z61" s="68"/>
      <c r="AA61" s="68"/>
      <c r="AB61" s="68"/>
      <c r="AD61" s="164">
        <f>1062262+830000-1808762</f>
        <v>83500</v>
      </c>
    </row>
    <row r="62" spans="1:30" ht="30" customHeight="1" x14ac:dyDescent="0.2">
      <c r="A62" s="148" t="s">
        <v>7</v>
      </c>
      <c r="B62" s="171" t="s">
        <v>276</v>
      </c>
      <c r="C62" s="65">
        <f>K62</f>
        <v>2600</v>
      </c>
      <c r="D62" s="67"/>
      <c r="E62" s="167"/>
      <c r="F62" s="167"/>
      <c r="G62" s="170"/>
      <c r="H62" s="170"/>
      <c r="I62" s="170"/>
      <c r="J62" s="170"/>
      <c r="K62" s="167">
        <v>2600</v>
      </c>
      <c r="L62" s="167"/>
      <c r="M62" s="167">
        <f>P62</f>
        <v>733</v>
      </c>
      <c r="N62" s="68"/>
      <c r="O62" s="68"/>
      <c r="P62" s="65">
        <v>733</v>
      </c>
      <c r="Q62" s="65"/>
      <c r="R62" s="68"/>
      <c r="S62" s="68"/>
      <c r="T62" s="68"/>
      <c r="U62" s="68"/>
      <c r="V62" s="68"/>
      <c r="W62" s="68"/>
      <c r="X62" s="68"/>
      <c r="Y62" s="68"/>
      <c r="Z62" s="68"/>
      <c r="AA62" s="68"/>
      <c r="AB62" s="68"/>
    </row>
    <row r="63" spans="1:30" ht="21.75" customHeight="1" x14ac:dyDescent="0.2">
      <c r="A63" s="148" t="s">
        <v>8</v>
      </c>
      <c r="B63" s="172" t="s">
        <v>274</v>
      </c>
      <c r="C63" s="65">
        <f>I63</f>
        <v>1000</v>
      </c>
      <c r="D63" s="67"/>
      <c r="E63" s="167"/>
      <c r="F63" s="167"/>
      <c r="G63" s="170"/>
      <c r="H63" s="170"/>
      <c r="I63" s="167">
        <v>1000</v>
      </c>
      <c r="J63" s="167"/>
      <c r="K63" s="170"/>
      <c r="L63" s="167"/>
      <c r="M63" s="167">
        <v>1000</v>
      </c>
      <c r="N63" s="65"/>
      <c r="O63" s="65"/>
      <c r="P63" s="65"/>
      <c r="Q63" s="65">
        <v>1000</v>
      </c>
      <c r="R63" s="68"/>
      <c r="S63" s="68"/>
      <c r="T63" s="68"/>
      <c r="U63" s="68"/>
      <c r="V63" s="68"/>
      <c r="W63" s="68"/>
      <c r="X63" s="68"/>
      <c r="Y63" s="68"/>
      <c r="Z63" s="68"/>
      <c r="AA63" s="68"/>
      <c r="AB63" s="68"/>
    </row>
    <row r="64" spans="1:30" ht="15.75" customHeight="1" x14ac:dyDescent="0.2">
      <c r="A64" s="148" t="s">
        <v>9</v>
      </c>
      <c r="B64" s="166" t="s">
        <v>125</v>
      </c>
      <c r="C64" s="65">
        <f>H64</f>
        <v>102133</v>
      </c>
      <c r="D64" s="67"/>
      <c r="E64" s="167"/>
      <c r="F64" s="167"/>
      <c r="G64" s="170"/>
      <c r="H64" s="167">
        <v>102133</v>
      </c>
      <c r="I64" s="170"/>
      <c r="J64" s="170"/>
      <c r="K64" s="170"/>
      <c r="L64" s="167"/>
      <c r="M64" s="167"/>
      <c r="N64" s="65"/>
      <c r="O64" s="65"/>
      <c r="P64" s="65"/>
      <c r="Q64" s="65"/>
      <c r="R64" s="68"/>
      <c r="S64" s="68"/>
      <c r="T64" s="68"/>
      <c r="U64" s="68"/>
      <c r="V64" s="68"/>
      <c r="W64" s="68"/>
      <c r="X64" s="68"/>
      <c r="Y64" s="68"/>
      <c r="Z64" s="68"/>
      <c r="AA64" s="68"/>
      <c r="AB64" s="68"/>
    </row>
    <row r="65" spans="1:28" ht="23.25" customHeight="1" x14ac:dyDescent="0.2">
      <c r="A65" s="148" t="s">
        <v>23</v>
      </c>
      <c r="B65" s="166" t="s">
        <v>238</v>
      </c>
      <c r="C65" s="65">
        <f>L65</f>
        <v>2558494</v>
      </c>
      <c r="D65" s="67"/>
      <c r="E65" s="167"/>
      <c r="F65" s="167"/>
      <c r="G65" s="167"/>
      <c r="H65" s="167"/>
      <c r="I65" s="167"/>
      <c r="J65" s="167"/>
      <c r="K65" s="167"/>
      <c r="L65" s="167">
        <v>2558494</v>
      </c>
      <c r="M65" s="167">
        <f>X65</f>
        <v>3520133</v>
      </c>
      <c r="N65" s="68"/>
      <c r="O65" s="65"/>
      <c r="P65" s="68"/>
      <c r="Q65" s="68"/>
      <c r="R65" s="68"/>
      <c r="S65" s="68"/>
      <c r="T65" s="68"/>
      <c r="U65" s="68"/>
      <c r="V65" s="68"/>
      <c r="W65" s="68"/>
      <c r="X65" s="65">
        <v>3520133</v>
      </c>
      <c r="Y65" s="65"/>
      <c r="Z65" s="68"/>
      <c r="AA65" s="68"/>
      <c r="AB65" s="68"/>
    </row>
    <row r="66" spans="1:28" ht="24" customHeight="1" x14ac:dyDescent="0.2">
      <c r="A66" s="148" t="s">
        <v>92</v>
      </c>
      <c r="B66" s="166" t="s">
        <v>121</v>
      </c>
      <c r="C66" s="67"/>
      <c r="D66" s="67"/>
      <c r="E66" s="170"/>
      <c r="F66" s="170"/>
      <c r="G66" s="170"/>
      <c r="H66" s="170"/>
      <c r="I66" s="170"/>
      <c r="J66" s="170"/>
      <c r="K66" s="170"/>
      <c r="L66" s="170"/>
      <c r="M66" s="167">
        <f>U66</f>
        <v>5294605</v>
      </c>
      <c r="N66" s="68"/>
      <c r="O66" s="68"/>
      <c r="P66" s="68"/>
      <c r="Q66" s="68"/>
      <c r="R66" s="68"/>
      <c r="S66" s="68"/>
      <c r="T66" s="68"/>
      <c r="U66" s="65">
        <v>5294605</v>
      </c>
      <c r="V66" s="65"/>
      <c r="W66" s="65"/>
      <c r="X66" s="65"/>
      <c r="Y66" s="65"/>
      <c r="Z66" s="68"/>
      <c r="AA66" s="68"/>
      <c r="AB66" s="68"/>
    </row>
    <row r="67" spans="1:28" ht="19.5" customHeight="1" x14ac:dyDescent="0.2">
      <c r="A67" s="148" t="s">
        <v>126</v>
      </c>
      <c r="B67" s="166" t="s">
        <v>246</v>
      </c>
      <c r="C67" s="67"/>
      <c r="D67" s="67"/>
      <c r="E67" s="170"/>
      <c r="F67" s="170"/>
      <c r="G67" s="170"/>
      <c r="H67" s="170"/>
      <c r="I67" s="170"/>
      <c r="J67" s="170"/>
      <c r="K67" s="170"/>
      <c r="L67" s="170"/>
      <c r="M67" s="167">
        <f>W67</f>
        <v>198007</v>
      </c>
      <c r="N67" s="68"/>
      <c r="O67" s="68"/>
      <c r="P67" s="68"/>
      <c r="Q67" s="68"/>
      <c r="R67" s="68"/>
      <c r="S67" s="68"/>
      <c r="T67" s="68"/>
      <c r="U67" s="65"/>
      <c r="V67" s="65"/>
      <c r="W67" s="65">
        <v>198007</v>
      </c>
      <c r="X67" s="65"/>
      <c r="Y67" s="65"/>
      <c r="Z67" s="68"/>
      <c r="AA67" s="68"/>
      <c r="AB67" s="68"/>
    </row>
    <row r="68" spans="1:28" ht="15.75" customHeight="1" x14ac:dyDescent="0.2">
      <c r="A68" s="99" t="s">
        <v>178</v>
      </c>
      <c r="B68" s="173" t="s">
        <v>497</v>
      </c>
      <c r="C68" s="174">
        <f>J68</f>
        <v>7600</v>
      </c>
      <c r="D68" s="175"/>
      <c r="E68" s="174"/>
      <c r="F68" s="175"/>
      <c r="G68" s="175"/>
      <c r="H68" s="175"/>
      <c r="I68" s="175"/>
      <c r="J68" s="174">
        <v>7600</v>
      </c>
      <c r="K68" s="175"/>
      <c r="L68" s="175"/>
      <c r="M68" s="175"/>
      <c r="N68" s="175"/>
      <c r="O68" s="175"/>
      <c r="P68" s="175"/>
      <c r="Q68" s="175"/>
      <c r="R68" s="175"/>
      <c r="S68" s="175"/>
      <c r="T68" s="175"/>
      <c r="U68" s="175"/>
      <c r="V68" s="175"/>
      <c r="W68" s="175"/>
      <c r="X68" s="175"/>
      <c r="Y68" s="175"/>
      <c r="Z68" s="175"/>
      <c r="AA68" s="175"/>
      <c r="AB68" s="175"/>
    </row>
    <row r="69" spans="1:28" ht="12.75" customHeight="1" x14ac:dyDescent="0.2">
      <c r="A69" s="70"/>
    </row>
    <row r="70" spans="1:28" x14ac:dyDescent="0.2">
      <c r="A70" s="70"/>
    </row>
    <row r="71" spans="1:28" x14ac:dyDescent="0.2">
      <c r="A71" s="71"/>
    </row>
    <row r="72" spans="1:28" x14ac:dyDescent="0.2">
      <c r="A72" s="176"/>
    </row>
    <row r="73" spans="1:28" x14ac:dyDescent="0.2">
      <c r="A73" s="176"/>
    </row>
    <row r="74" spans="1:28" x14ac:dyDescent="0.2">
      <c r="A74" s="176"/>
    </row>
    <row r="75" spans="1:28" x14ac:dyDescent="0.2">
      <c r="A75" s="176"/>
    </row>
    <row r="76" spans="1:28" x14ac:dyDescent="0.2">
      <c r="A76" s="176"/>
    </row>
    <row r="77" spans="1:28" x14ac:dyDescent="0.2">
      <c r="A77" s="176"/>
    </row>
    <row r="78" spans="1:28" x14ac:dyDescent="0.2">
      <c r="A78" s="176"/>
    </row>
    <row r="79" spans="1:28" x14ac:dyDescent="0.2">
      <c r="A79" s="176"/>
    </row>
    <row r="80" spans="1:28" x14ac:dyDescent="0.2">
      <c r="A80" s="176"/>
    </row>
    <row r="81" spans="1:1" x14ac:dyDescent="0.2">
      <c r="A81" s="176"/>
    </row>
    <row r="82" spans="1:1" x14ac:dyDescent="0.2">
      <c r="A82" s="176"/>
    </row>
  </sheetData>
  <mergeCells count="32">
    <mergeCell ref="Z1:AB1"/>
    <mergeCell ref="L7:L8"/>
    <mergeCell ref="C6:L6"/>
    <mergeCell ref="M7:M8"/>
    <mergeCell ref="N7:N8"/>
    <mergeCell ref="AA7:AA8"/>
    <mergeCell ref="D7:D8"/>
    <mergeCell ref="E7:E8"/>
    <mergeCell ref="F7:F8"/>
    <mergeCell ref="Y6:Y8"/>
    <mergeCell ref="Q7:Q8"/>
    <mergeCell ref="K7:K8"/>
    <mergeCell ref="I7:I8"/>
    <mergeCell ref="H7:H8"/>
    <mergeCell ref="J7:J8"/>
    <mergeCell ref="W6:W8"/>
    <mergeCell ref="AB7:AB8"/>
    <mergeCell ref="V6:V8"/>
    <mergeCell ref="X6:X8"/>
    <mergeCell ref="A2:AB2"/>
    <mergeCell ref="A3:AB3"/>
    <mergeCell ref="O7:O8"/>
    <mergeCell ref="P7:P8"/>
    <mergeCell ref="R7:T7"/>
    <mergeCell ref="U7:U8"/>
    <mergeCell ref="Z7:Z8"/>
    <mergeCell ref="A6:A8"/>
    <mergeCell ref="B6:B8"/>
    <mergeCell ref="M6:U6"/>
    <mergeCell ref="G7:G8"/>
    <mergeCell ref="Z6:AB6"/>
    <mergeCell ref="C7:C8"/>
  </mergeCells>
  <pageMargins left="0.5" right="0.5" top="0.7" bottom="0.6" header="0.31496062992126" footer="0.31496062992126"/>
  <pageSetup paperSize="9" scale="68" orientation="landscape" r:id="rId1"/>
  <headerFooter>
    <oddHeader>&amp;RBiểu số 07</oddHeader>
    <oddFooter>&amp;C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35"/>
  <sheetViews>
    <sheetView workbookViewId="0">
      <selection activeCell="I5" sqref="I5"/>
    </sheetView>
  </sheetViews>
  <sheetFormatPr defaultRowHeight="15" x14ac:dyDescent="0.25"/>
  <cols>
    <col min="1" max="1" width="3.28515625" customWidth="1"/>
    <col min="2" max="2" width="19.28515625" customWidth="1"/>
    <col min="3" max="3" width="11.140625" customWidth="1"/>
    <col min="4" max="4" width="9.85546875" customWidth="1"/>
    <col min="5" max="6" width="10.42578125" customWidth="1"/>
    <col min="7" max="7" width="8.42578125" customWidth="1"/>
    <col min="8" max="8" width="8.5703125" customWidth="1"/>
    <col min="9" max="9" width="7.7109375" customWidth="1"/>
    <col min="10" max="10" width="10.140625" customWidth="1"/>
    <col min="11" max="11" width="9.7109375" customWidth="1"/>
    <col min="12" max="12" width="8.140625" customWidth="1"/>
    <col min="13" max="13" width="8.7109375" customWidth="1"/>
    <col min="14" max="14" width="8.42578125" customWidth="1"/>
    <col min="15" max="15" width="7.5703125" customWidth="1"/>
    <col min="16" max="16" width="9.85546875" customWidth="1"/>
    <col min="17" max="17" width="8.28515625" customWidth="1"/>
    <col min="18" max="18" width="8.5703125" customWidth="1"/>
    <col min="19" max="19" width="7.7109375" customWidth="1"/>
  </cols>
  <sheetData>
    <row r="1" spans="1:21" ht="15.75" x14ac:dyDescent="0.25">
      <c r="R1" s="55"/>
      <c r="S1" s="1"/>
    </row>
    <row r="2" spans="1:21" ht="15.75" x14ac:dyDescent="0.25">
      <c r="S2" s="1"/>
    </row>
    <row r="3" spans="1:21" s="154" customFormat="1" ht="15.75" x14ac:dyDescent="0.25">
      <c r="A3" s="227" t="s">
        <v>532</v>
      </c>
      <c r="B3" s="227"/>
      <c r="C3" s="227"/>
      <c r="D3" s="227"/>
      <c r="E3" s="227"/>
      <c r="F3" s="227"/>
      <c r="G3" s="227"/>
      <c r="H3" s="227"/>
      <c r="I3" s="227"/>
      <c r="J3" s="227"/>
      <c r="K3" s="227"/>
      <c r="L3" s="227"/>
      <c r="M3" s="227"/>
      <c r="N3" s="227"/>
      <c r="O3" s="227"/>
      <c r="P3" s="227"/>
      <c r="Q3" s="227"/>
      <c r="R3" s="227"/>
      <c r="S3" s="227"/>
    </row>
    <row r="4" spans="1:21" s="154" customFormat="1" ht="15.75" x14ac:dyDescent="0.25">
      <c r="A4" s="229" t="s">
        <v>583</v>
      </c>
      <c r="B4" s="229"/>
      <c r="C4" s="229"/>
      <c r="D4" s="229"/>
      <c r="E4" s="229"/>
      <c r="F4" s="229"/>
      <c r="G4" s="229"/>
      <c r="H4" s="229"/>
      <c r="I4" s="229"/>
      <c r="J4" s="229"/>
      <c r="K4" s="229"/>
      <c r="L4" s="229"/>
      <c r="M4" s="229"/>
      <c r="N4" s="229"/>
      <c r="O4" s="229"/>
      <c r="P4" s="229"/>
      <c r="Q4" s="229"/>
      <c r="R4" s="229"/>
      <c r="S4" s="229"/>
      <c r="T4" s="50"/>
      <c r="U4" s="50"/>
    </row>
    <row r="5" spans="1:21" s="154" customFormat="1" ht="15.75" x14ac:dyDescent="0.25">
      <c r="A5" s="145"/>
      <c r="B5" s="145"/>
      <c r="C5" s="145"/>
      <c r="D5" s="145"/>
      <c r="E5" s="145"/>
      <c r="F5" s="145"/>
      <c r="G5" s="145"/>
      <c r="H5" s="145"/>
      <c r="I5" s="145"/>
      <c r="J5" s="145"/>
      <c r="K5" s="145"/>
      <c r="L5" s="145"/>
      <c r="M5" s="145"/>
      <c r="N5" s="145"/>
      <c r="O5" s="145"/>
      <c r="P5" s="145"/>
      <c r="Q5" s="145"/>
      <c r="R5" s="145"/>
      <c r="S5" s="145"/>
      <c r="T5" s="50"/>
      <c r="U5" s="50"/>
    </row>
    <row r="6" spans="1:21" s="154" customFormat="1" ht="15.75" x14ac:dyDescent="0.25">
      <c r="S6" s="2" t="s">
        <v>556</v>
      </c>
    </row>
    <row r="7" spans="1:21" s="154" customFormat="1" ht="17.25" customHeight="1" x14ac:dyDescent="0.25">
      <c r="A7" s="231" t="s">
        <v>557</v>
      </c>
      <c r="B7" s="231" t="s">
        <v>28</v>
      </c>
      <c r="C7" s="231" t="s">
        <v>124</v>
      </c>
      <c r="D7" s="231"/>
      <c r="E7" s="231"/>
      <c r="F7" s="231" t="s">
        <v>132</v>
      </c>
      <c r="G7" s="231"/>
      <c r="H7" s="231"/>
      <c r="I7" s="231"/>
      <c r="J7" s="231"/>
      <c r="K7" s="231"/>
      <c r="L7" s="231"/>
      <c r="M7" s="231"/>
      <c r="N7" s="231"/>
      <c r="O7" s="231"/>
      <c r="P7" s="231"/>
      <c r="Q7" s="231" t="s">
        <v>68</v>
      </c>
      <c r="R7" s="231"/>
      <c r="S7" s="231"/>
    </row>
    <row r="8" spans="1:21" s="154" customFormat="1" ht="15.75" x14ac:dyDescent="0.25">
      <c r="A8" s="231"/>
      <c r="B8" s="231"/>
      <c r="C8" s="231" t="s">
        <v>24</v>
      </c>
      <c r="D8" s="231" t="s">
        <v>66</v>
      </c>
      <c r="E8" s="231" t="s">
        <v>15</v>
      </c>
      <c r="F8" s="231" t="s">
        <v>24</v>
      </c>
      <c r="G8" s="231" t="s">
        <v>66</v>
      </c>
      <c r="H8" s="231"/>
      <c r="I8" s="231"/>
      <c r="J8" s="231" t="s">
        <v>15</v>
      </c>
      <c r="K8" s="231"/>
      <c r="L8" s="231"/>
      <c r="M8" s="231" t="s">
        <v>152</v>
      </c>
      <c r="N8" s="231"/>
      <c r="O8" s="231"/>
      <c r="P8" s="231" t="s">
        <v>42</v>
      </c>
      <c r="Q8" s="231" t="s">
        <v>24</v>
      </c>
      <c r="R8" s="231" t="s">
        <v>66</v>
      </c>
      <c r="S8" s="231" t="s">
        <v>15</v>
      </c>
    </row>
    <row r="9" spans="1:21" s="154" customFormat="1" ht="15.75" x14ac:dyDescent="0.25">
      <c r="A9" s="231"/>
      <c r="B9" s="231"/>
      <c r="C9" s="231"/>
      <c r="D9" s="231"/>
      <c r="E9" s="231"/>
      <c r="F9" s="231"/>
      <c r="G9" s="231" t="s">
        <v>24</v>
      </c>
      <c r="H9" s="231" t="s">
        <v>29</v>
      </c>
      <c r="I9" s="231"/>
      <c r="J9" s="231" t="s">
        <v>24</v>
      </c>
      <c r="K9" s="231" t="s">
        <v>29</v>
      </c>
      <c r="L9" s="231"/>
      <c r="M9" s="231" t="s">
        <v>24</v>
      </c>
      <c r="N9" s="231" t="s">
        <v>29</v>
      </c>
      <c r="O9" s="231"/>
      <c r="P9" s="231"/>
      <c r="Q9" s="231"/>
      <c r="R9" s="231"/>
      <c r="S9" s="231"/>
    </row>
    <row r="10" spans="1:21" s="154" customFormat="1" ht="78.75" x14ac:dyDescent="0.25">
      <c r="A10" s="231"/>
      <c r="B10" s="231"/>
      <c r="C10" s="231"/>
      <c r="D10" s="231"/>
      <c r="E10" s="231"/>
      <c r="F10" s="231"/>
      <c r="G10" s="231"/>
      <c r="H10" s="146" t="s">
        <v>153</v>
      </c>
      <c r="I10" s="146" t="s">
        <v>87</v>
      </c>
      <c r="J10" s="231"/>
      <c r="K10" s="146" t="s">
        <v>153</v>
      </c>
      <c r="L10" s="146" t="s">
        <v>122</v>
      </c>
      <c r="M10" s="231"/>
      <c r="N10" s="146" t="s">
        <v>66</v>
      </c>
      <c r="O10" s="146" t="s">
        <v>15</v>
      </c>
      <c r="P10" s="231"/>
      <c r="Q10" s="231"/>
      <c r="R10" s="231"/>
      <c r="S10" s="231"/>
    </row>
    <row r="11" spans="1:21" s="154" customFormat="1" ht="31.5" x14ac:dyDescent="0.25">
      <c r="A11" s="146" t="s">
        <v>2</v>
      </c>
      <c r="B11" s="146" t="s">
        <v>3</v>
      </c>
      <c r="C11" s="146">
        <v>1</v>
      </c>
      <c r="D11" s="146">
        <v>2</v>
      </c>
      <c r="E11" s="146">
        <v>3</v>
      </c>
      <c r="F11" s="146" t="s">
        <v>454</v>
      </c>
      <c r="G11" s="146">
        <v>5</v>
      </c>
      <c r="H11" s="146">
        <v>6</v>
      </c>
      <c r="I11" s="146">
        <v>7</v>
      </c>
      <c r="J11" s="146">
        <v>8</v>
      </c>
      <c r="K11" s="146">
        <v>9</v>
      </c>
      <c r="L11" s="146">
        <v>10</v>
      </c>
      <c r="M11" s="146">
        <v>11</v>
      </c>
      <c r="N11" s="146">
        <v>12</v>
      </c>
      <c r="O11" s="146">
        <v>13</v>
      </c>
      <c r="P11" s="146">
        <v>14</v>
      </c>
      <c r="Q11" s="146" t="s">
        <v>154</v>
      </c>
      <c r="R11" s="146" t="s">
        <v>155</v>
      </c>
      <c r="S11" s="146" t="s">
        <v>452</v>
      </c>
    </row>
    <row r="12" spans="1:21" s="154" customFormat="1" ht="18.75" customHeight="1" x14ac:dyDescent="0.25">
      <c r="A12" s="11"/>
      <c r="B12" s="90" t="s">
        <v>25</v>
      </c>
      <c r="C12" s="13">
        <f t="shared" ref="C12:H12" si="0">SUM(C13:C22)</f>
        <v>4230257</v>
      </c>
      <c r="D12" s="13">
        <f t="shared" si="0"/>
        <v>295000</v>
      </c>
      <c r="E12" s="13">
        <f t="shared" si="0"/>
        <v>3935257</v>
      </c>
      <c r="F12" s="13">
        <f t="shared" si="0"/>
        <v>6613864</v>
      </c>
      <c r="G12" s="13">
        <f t="shared" si="0"/>
        <v>672999</v>
      </c>
      <c r="H12" s="13">
        <f t="shared" si="0"/>
        <v>146642</v>
      </c>
      <c r="I12" s="21"/>
      <c r="J12" s="13">
        <f t="shared" ref="J12:P12" si="1">SUM(J13:J22)</f>
        <v>4165437</v>
      </c>
      <c r="K12" s="53">
        <f t="shared" si="1"/>
        <v>2273691</v>
      </c>
      <c r="L12" s="13">
        <f t="shared" si="1"/>
        <v>923</v>
      </c>
      <c r="M12" s="13">
        <f t="shared" si="1"/>
        <v>173109</v>
      </c>
      <c r="N12" s="13">
        <f t="shared" si="1"/>
        <v>155268</v>
      </c>
      <c r="O12" s="13">
        <f t="shared" si="1"/>
        <v>17841</v>
      </c>
      <c r="P12" s="13">
        <f t="shared" si="1"/>
        <v>1602319</v>
      </c>
      <c r="Q12" s="15">
        <f>F12/C12*100</f>
        <v>156.34662385760487</v>
      </c>
      <c r="R12" s="15">
        <f>G12/D12*100</f>
        <v>228.13525423728814</v>
      </c>
      <c r="S12" s="15">
        <f>J12/E12*100</f>
        <v>105.84917325602876</v>
      </c>
    </row>
    <row r="13" spans="1:21" s="154" customFormat="1" ht="18.75" customHeight="1" x14ac:dyDescent="0.25">
      <c r="A13" s="42">
        <v>1</v>
      </c>
      <c r="B13" s="51" t="s">
        <v>254</v>
      </c>
      <c r="C13" s="12">
        <f>D13+E13</f>
        <v>806638</v>
      </c>
      <c r="D13" s="12">
        <v>62400</v>
      </c>
      <c r="E13" s="12">
        <f>914975-D13-108337</f>
        <v>744238</v>
      </c>
      <c r="F13" s="12">
        <f>G13+J13+M13+P13</f>
        <v>1174443</v>
      </c>
      <c r="G13" s="12">
        <f>91144+2492-N13</f>
        <v>91938</v>
      </c>
      <c r="H13" s="12">
        <v>36679</v>
      </c>
      <c r="I13" s="12"/>
      <c r="J13" s="12">
        <f>519220+115321-O13</f>
        <v>634057</v>
      </c>
      <c r="K13" s="12">
        <v>298047</v>
      </c>
      <c r="L13" s="12"/>
      <c r="M13" s="12">
        <f>N13+O13</f>
        <v>2182</v>
      </c>
      <c r="N13" s="12">
        <v>1698</v>
      </c>
      <c r="O13" s="12">
        <v>484</v>
      </c>
      <c r="P13" s="12">
        <v>446266</v>
      </c>
      <c r="Q13" s="18">
        <f>F13/C13*100</f>
        <v>145.5972815562867</v>
      </c>
      <c r="R13" s="18">
        <f>G13/D13*100</f>
        <v>147.33653846153848</v>
      </c>
      <c r="S13" s="18">
        <f>J13/E13*100</f>
        <v>85.195461666832387</v>
      </c>
    </row>
    <row r="14" spans="1:21" s="154" customFormat="1" ht="18.75" customHeight="1" x14ac:dyDescent="0.25">
      <c r="A14" s="42">
        <v>2</v>
      </c>
      <c r="B14" s="6" t="s">
        <v>255</v>
      </c>
      <c r="C14" s="12">
        <f>D14+E14</f>
        <v>426875</v>
      </c>
      <c r="D14" s="12">
        <v>52400</v>
      </c>
      <c r="E14" s="12">
        <f>426875-D14</f>
        <v>374475</v>
      </c>
      <c r="F14" s="12">
        <f t="shared" ref="F14:F22" si="2">G14+J14+M14+P14</f>
        <v>664835</v>
      </c>
      <c r="G14" s="12">
        <f>64149+15950-N14</f>
        <v>66583</v>
      </c>
      <c r="H14" s="12">
        <v>7960</v>
      </c>
      <c r="I14" s="12"/>
      <c r="J14" s="12">
        <f>340363+80425-O14</f>
        <v>418724</v>
      </c>
      <c r="K14" s="12">
        <v>236833</v>
      </c>
      <c r="L14" s="12">
        <v>58</v>
      </c>
      <c r="M14" s="12">
        <f t="shared" ref="M14:M22" si="3">N14+O14</f>
        <v>15580</v>
      </c>
      <c r="N14" s="12">
        <v>13516</v>
      </c>
      <c r="O14" s="12">
        <v>2064</v>
      </c>
      <c r="P14" s="12">
        <v>163948</v>
      </c>
      <c r="Q14" s="18">
        <f t="shared" ref="Q14:Q22" si="4">F14/C14*100</f>
        <v>155.74465592972183</v>
      </c>
      <c r="R14" s="18">
        <f t="shared" ref="R14:R22" si="5">G14/D14*100</f>
        <v>127.06679389312978</v>
      </c>
      <c r="S14" s="18">
        <f t="shared" ref="S14:S22" si="6">J14/E14*100</f>
        <v>111.81627611990119</v>
      </c>
    </row>
    <row r="15" spans="1:21" s="163" customFormat="1" ht="18.75" customHeight="1" x14ac:dyDescent="0.25">
      <c r="A15" s="177">
        <v>3</v>
      </c>
      <c r="B15" s="89" t="s">
        <v>256</v>
      </c>
      <c r="C15" s="162">
        <f t="shared" ref="C15:C22" si="7">D15+E15</f>
        <v>466916</v>
      </c>
      <c r="D15" s="162">
        <v>22400</v>
      </c>
      <c r="E15" s="162">
        <f>466916-D15</f>
        <v>444516</v>
      </c>
      <c r="F15" s="162">
        <f t="shared" si="2"/>
        <v>575041</v>
      </c>
      <c r="G15" s="162">
        <f>73240+19854-N15</f>
        <v>68618</v>
      </c>
      <c r="H15" s="162">
        <v>12950</v>
      </c>
      <c r="I15" s="162"/>
      <c r="J15" s="162">
        <f>374995+103189-O15</f>
        <v>475583</v>
      </c>
      <c r="K15" s="162">
        <v>276676</v>
      </c>
      <c r="L15" s="162"/>
      <c r="M15" s="162">
        <f t="shared" si="3"/>
        <v>27077</v>
      </c>
      <c r="N15" s="162">
        <v>24476</v>
      </c>
      <c r="O15" s="162">
        <v>2601</v>
      </c>
      <c r="P15" s="162">
        <v>3763</v>
      </c>
      <c r="Q15" s="178">
        <f t="shared" si="4"/>
        <v>123.15727025846191</v>
      </c>
      <c r="R15" s="178">
        <f t="shared" si="5"/>
        <v>306.33035714285717</v>
      </c>
      <c r="S15" s="178">
        <f t="shared" si="6"/>
        <v>106.98894977908557</v>
      </c>
    </row>
    <row r="16" spans="1:21" s="154" customFormat="1" ht="18.75" customHeight="1" x14ac:dyDescent="0.25">
      <c r="A16" s="42">
        <v>4</v>
      </c>
      <c r="B16" s="6" t="s">
        <v>257</v>
      </c>
      <c r="C16" s="12">
        <f t="shared" si="7"/>
        <v>559965</v>
      </c>
      <c r="D16" s="12">
        <v>62400</v>
      </c>
      <c r="E16" s="12">
        <f>559965-D16</f>
        <v>497565</v>
      </c>
      <c r="F16" s="12">
        <f t="shared" si="2"/>
        <v>974438</v>
      </c>
      <c r="G16" s="12">
        <f>172654+15228-N16</f>
        <v>161035</v>
      </c>
      <c r="H16" s="12">
        <v>48662</v>
      </c>
      <c r="I16" s="12"/>
      <c r="J16" s="12">
        <f>445563+133578-O16</f>
        <v>576976</v>
      </c>
      <c r="K16" s="12">
        <v>329113</v>
      </c>
      <c r="L16" s="12">
        <v>139</v>
      </c>
      <c r="M16" s="12">
        <f t="shared" si="3"/>
        <v>29012</v>
      </c>
      <c r="N16" s="12">
        <v>26847</v>
      </c>
      <c r="O16" s="12">
        <v>2165</v>
      </c>
      <c r="P16" s="12">
        <v>207415</v>
      </c>
      <c r="Q16" s="18">
        <f t="shared" si="4"/>
        <v>174.01766181814935</v>
      </c>
      <c r="R16" s="18">
        <f t="shared" si="5"/>
        <v>258.06891025641028</v>
      </c>
      <c r="S16" s="18">
        <f t="shared" si="6"/>
        <v>115.95992483394129</v>
      </c>
    </row>
    <row r="17" spans="1:19" s="154" customFormat="1" ht="18.75" customHeight="1" x14ac:dyDescent="0.25">
      <c r="A17" s="42">
        <v>5</v>
      </c>
      <c r="B17" s="6" t="s">
        <v>258</v>
      </c>
      <c r="C17" s="12">
        <f t="shared" si="7"/>
        <v>348874</v>
      </c>
      <c r="D17" s="12">
        <v>19400</v>
      </c>
      <c r="E17" s="12">
        <f>348874-D17</f>
        <v>329474</v>
      </c>
      <c r="F17" s="12">
        <f t="shared" si="2"/>
        <v>609332</v>
      </c>
      <c r="G17" s="12">
        <f>99525+404-N17</f>
        <v>78466</v>
      </c>
      <c r="H17" s="12">
        <v>24104</v>
      </c>
      <c r="I17" s="12"/>
      <c r="J17" s="12">
        <f>282722+63967+4508-O17</f>
        <v>347440</v>
      </c>
      <c r="K17" s="12">
        <v>198565</v>
      </c>
      <c r="L17" s="12">
        <v>200</v>
      </c>
      <c r="M17" s="12">
        <f t="shared" si="3"/>
        <v>25220</v>
      </c>
      <c r="N17" s="12">
        <v>21463</v>
      </c>
      <c r="O17" s="12">
        <v>3757</v>
      </c>
      <c r="P17" s="12">
        <v>158206</v>
      </c>
      <c r="Q17" s="18">
        <f t="shared" si="4"/>
        <v>174.65675286779754</v>
      </c>
      <c r="R17" s="18">
        <f t="shared" si="5"/>
        <v>404.46391752577318</v>
      </c>
      <c r="S17" s="18">
        <f t="shared" si="6"/>
        <v>105.45293407067022</v>
      </c>
    </row>
    <row r="18" spans="1:19" s="154" customFormat="1" ht="18.75" customHeight="1" x14ac:dyDescent="0.25">
      <c r="A18" s="42">
        <v>6</v>
      </c>
      <c r="B18" s="6" t="s">
        <v>259</v>
      </c>
      <c r="C18" s="12">
        <f t="shared" si="7"/>
        <v>331336</v>
      </c>
      <c r="D18" s="12">
        <v>32400</v>
      </c>
      <c r="E18" s="12">
        <f>331336-D18</f>
        <v>298936</v>
      </c>
      <c r="F18" s="12">
        <f t="shared" si="2"/>
        <v>645643</v>
      </c>
      <c r="G18" s="12">
        <f>56673+4675-N18</f>
        <v>56701</v>
      </c>
      <c r="H18" s="12"/>
      <c r="I18" s="12"/>
      <c r="J18" s="12">
        <f>266374+52541+117-O18</f>
        <v>318478</v>
      </c>
      <c r="K18" s="12">
        <v>156277</v>
      </c>
      <c r="L18" s="12">
        <v>47</v>
      </c>
      <c r="M18" s="12">
        <f t="shared" si="3"/>
        <v>5201</v>
      </c>
      <c r="N18" s="12">
        <v>4647</v>
      </c>
      <c r="O18" s="12">
        <v>554</v>
      </c>
      <c r="P18" s="12">
        <v>265263</v>
      </c>
      <c r="Q18" s="18">
        <f t="shared" si="4"/>
        <v>194.86050414081174</v>
      </c>
      <c r="R18" s="18">
        <f t="shared" si="5"/>
        <v>175.00308641975309</v>
      </c>
      <c r="S18" s="18">
        <f t="shared" si="6"/>
        <v>106.53718521690261</v>
      </c>
    </row>
    <row r="19" spans="1:19" s="154" customFormat="1" ht="18.75" customHeight="1" x14ac:dyDescent="0.25">
      <c r="A19" s="42">
        <v>7</v>
      </c>
      <c r="B19" s="6" t="s">
        <v>260</v>
      </c>
      <c r="C19" s="12">
        <f t="shared" si="7"/>
        <v>281424</v>
      </c>
      <c r="D19" s="12">
        <v>15400</v>
      </c>
      <c r="E19" s="12">
        <f>281424-D19</f>
        <v>266024</v>
      </c>
      <c r="F19" s="12">
        <f t="shared" si="2"/>
        <v>531422</v>
      </c>
      <c r="G19" s="12">
        <f>46552+13785-N19</f>
        <v>40895</v>
      </c>
      <c r="H19" s="12">
        <v>11352</v>
      </c>
      <c r="I19" s="12"/>
      <c r="J19" s="12">
        <f>228512+54863-O19</f>
        <v>282204</v>
      </c>
      <c r="K19" s="12">
        <v>136814</v>
      </c>
      <c r="L19" s="12">
        <v>171</v>
      </c>
      <c r="M19" s="12">
        <f t="shared" si="3"/>
        <v>20613</v>
      </c>
      <c r="N19" s="12">
        <v>19442</v>
      </c>
      <c r="O19" s="12">
        <v>1171</v>
      </c>
      <c r="P19" s="12">
        <v>187710</v>
      </c>
      <c r="Q19" s="18">
        <f t="shared" si="4"/>
        <v>188.83321962590256</v>
      </c>
      <c r="R19" s="18">
        <f t="shared" si="5"/>
        <v>265.55194805194805</v>
      </c>
      <c r="S19" s="18">
        <f t="shared" si="6"/>
        <v>106.08215800078189</v>
      </c>
    </row>
    <row r="20" spans="1:19" s="154" customFormat="1" ht="18.75" customHeight="1" x14ac:dyDescent="0.25">
      <c r="A20" s="42">
        <v>8</v>
      </c>
      <c r="B20" s="6" t="s">
        <v>261</v>
      </c>
      <c r="C20" s="12">
        <f t="shared" si="7"/>
        <v>424085</v>
      </c>
      <c r="D20" s="12">
        <v>7400</v>
      </c>
      <c r="E20" s="12">
        <f>424085-D20</f>
        <v>416685</v>
      </c>
      <c r="F20" s="12">
        <f t="shared" si="2"/>
        <v>644944</v>
      </c>
      <c r="G20" s="12">
        <f>67445+66-N20</f>
        <v>44800</v>
      </c>
      <c r="H20" s="12">
        <v>2718</v>
      </c>
      <c r="I20" s="12"/>
      <c r="J20" s="12">
        <f>388128+85305-O20</f>
        <v>470546</v>
      </c>
      <c r="K20" s="12">
        <v>262244</v>
      </c>
      <c r="L20" s="12">
        <v>101</v>
      </c>
      <c r="M20" s="12">
        <f t="shared" si="3"/>
        <v>25598</v>
      </c>
      <c r="N20" s="12">
        <v>22711</v>
      </c>
      <c r="O20" s="12">
        <v>2887</v>
      </c>
      <c r="P20" s="12">
        <v>104000</v>
      </c>
      <c r="Q20" s="18">
        <f t="shared" si="4"/>
        <v>152.07894643762455</v>
      </c>
      <c r="R20" s="18">
        <f t="shared" si="5"/>
        <v>605.40540540540542</v>
      </c>
      <c r="S20" s="18">
        <f t="shared" si="6"/>
        <v>112.92607125286487</v>
      </c>
    </row>
    <row r="21" spans="1:19" s="154" customFormat="1" ht="18.75" customHeight="1" x14ac:dyDescent="0.25">
      <c r="A21" s="42">
        <v>9</v>
      </c>
      <c r="B21" s="6" t="s">
        <v>262</v>
      </c>
      <c r="C21" s="12">
        <f t="shared" si="7"/>
        <v>426143</v>
      </c>
      <c r="D21" s="12">
        <v>8400</v>
      </c>
      <c r="E21" s="12">
        <f>426143-D21</f>
        <v>417743</v>
      </c>
      <c r="F21" s="12">
        <f t="shared" si="2"/>
        <v>594358</v>
      </c>
      <c r="G21" s="12">
        <f>19782+50609-N21</f>
        <v>52714</v>
      </c>
      <c r="H21" s="12">
        <f>1821+383</f>
        <v>2204</v>
      </c>
      <c r="I21" s="12"/>
      <c r="J21" s="12">
        <f>383478+98884+1290-O21</f>
        <v>481855</v>
      </c>
      <c r="K21" s="12">
        <v>289341</v>
      </c>
      <c r="L21" s="12">
        <v>78</v>
      </c>
      <c r="M21" s="12">
        <f t="shared" si="3"/>
        <v>19474</v>
      </c>
      <c r="N21" s="12">
        <v>17677</v>
      </c>
      <c r="O21" s="12">
        <v>1797</v>
      </c>
      <c r="P21" s="12">
        <v>40315</v>
      </c>
      <c r="Q21" s="18">
        <f t="shared" si="4"/>
        <v>139.47383859408694</v>
      </c>
      <c r="R21" s="18">
        <f t="shared" si="5"/>
        <v>627.54761904761904</v>
      </c>
      <c r="S21" s="18">
        <f t="shared" si="6"/>
        <v>115.34723502248991</v>
      </c>
    </row>
    <row r="22" spans="1:19" s="154" customFormat="1" ht="18.75" customHeight="1" x14ac:dyDescent="0.25">
      <c r="A22" s="42">
        <v>10</v>
      </c>
      <c r="B22" s="6" t="s">
        <v>263</v>
      </c>
      <c r="C22" s="12">
        <f t="shared" si="7"/>
        <v>158001</v>
      </c>
      <c r="D22" s="12">
        <v>12400</v>
      </c>
      <c r="E22" s="12">
        <f>158001-D22</f>
        <v>145601</v>
      </c>
      <c r="F22" s="12">
        <f t="shared" si="2"/>
        <v>199408</v>
      </c>
      <c r="G22" s="12">
        <f>14018+22-N22</f>
        <v>11249</v>
      </c>
      <c r="H22" s="12">
        <v>13</v>
      </c>
      <c r="I22" s="12"/>
      <c r="J22" s="12">
        <f>139607+20197+131-O22</f>
        <v>159574</v>
      </c>
      <c r="K22" s="12">
        <v>89781</v>
      </c>
      <c r="L22" s="12">
        <v>129</v>
      </c>
      <c r="M22" s="12">
        <f t="shared" si="3"/>
        <v>3152</v>
      </c>
      <c r="N22" s="12">
        <v>2791</v>
      </c>
      <c r="O22" s="12">
        <v>361</v>
      </c>
      <c r="P22" s="12">
        <v>25433</v>
      </c>
      <c r="Q22" s="18">
        <f t="shared" si="4"/>
        <v>126.20679615951798</v>
      </c>
      <c r="R22" s="18">
        <f t="shared" si="5"/>
        <v>90.717741935483872</v>
      </c>
      <c r="S22" s="18">
        <f t="shared" si="6"/>
        <v>109.5967747474262</v>
      </c>
    </row>
    <row r="23" spans="1:19" s="154" customFormat="1" ht="15.75" x14ac:dyDescent="0.25">
      <c r="A23" s="43"/>
      <c r="B23" s="44"/>
      <c r="C23" s="43"/>
      <c r="D23" s="45"/>
      <c r="E23" s="43"/>
      <c r="F23" s="43"/>
      <c r="G23" s="43"/>
      <c r="H23" s="43"/>
      <c r="I23" s="43"/>
      <c r="J23" s="43"/>
      <c r="K23" s="43"/>
      <c r="L23" s="43"/>
      <c r="M23" s="43"/>
      <c r="N23" s="43"/>
      <c r="O23" s="43"/>
      <c r="P23" s="43"/>
      <c r="Q23" s="43"/>
      <c r="R23" s="43"/>
      <c r="S23" s="43"/>
    </row>
    <row r="24" spans="1:19" s="154" customFormat="1" ht="15.75" x14ac:dyDescent="0.25">
      <c r="A24" s="3"/>
      <c r="J24" s="180"/>
      <c r="L24" s="155"/>
    </row>
    <row r="25" spans="1:19" s="154" customFormat="1" ht="15.75" x14ac:dyDescent="0.25">
      <c r="A25" s="8"/>
      <c r="L25" s="75"/>
    </row>
    <row r="26" spans="1:19" s="154" customFormat="1" ht="15.75" x14ac:dyDescent="0.25">
      <c r="A26" s="8"/>
      <c r="H26" s="155"/>
    </row>
    <row r="27" spans="1:19" ht="15.75" x14ac:dyDescent="0.25">
      <c r="A27" s="8"/>
    </row>
    <row r="28" spans="1:19" x14ac:dyDescent="0.25">
      <c r="A28" s="10"/>
    </row>
    <row r="29" spans="1:19" x14ac:dyDescent="0.25">
      <c r="A29" s="10"/>
    </row>
    <row r="30" spans="1:19" x14ac:dyDescent="0.25">
      <c r="A30" s="10"/>
    </row>
    <row r="31" spans="1:19" x14ac:dyDescent="0.25">
      <c r="A31" s="10"/>
    </row>
    <row r="32" spans="1:19" x14ac:dyDescent="0.25">
      <c r="A32" s="10"/>
    </row>
    <row r="33" spans="1:1" x14ac:dyDescent="0.25">
      <c r="A33" s="10"/>
    </row>
    <row r="34" spans="1:1" x14ac:dyDescent="0.25">
      <c r="A34" s="10"/>
    </row>
    <row r="35" spans="1:1" x14ac:dyDescent="0.25">
      <c r="A35" s="10"/>
    </row>
  </sheetData>
  <mergeCells count="24">
    <mergeCell ref="A3:S3"/>
    <mergeCell ref="A4:S4"/>
    <mergeCell ref="G9:G10"/>
    <mergeCell ref="H9:I9"/>
    <mergeCell ref="J9:J10"/>
    <mergeCell ref="K9:L9"/>
    <mergeCell ref="M9:M10"/>
    <mergeCell ref="N9:O9"/>
    <mergeCell ref="J8:L8"/>
    <mergeCell ref="M8:O8"/>
    <mergeCell ref="P8:P10"/>
    <mergeCell ref="Q8:Q10"/>
    <mergeCell ref="R8:R10"/>
    <mergeCell ref="S8:S10"/>
    <mergeCell ref="A7:A10"/>
    <mergeCell ref="B7:B10"/>
    <mergeCell ref="C7:E7"/>
    <mergeCell ref="F7:P7"/>
    <mergeCell ref="Q7:S7"/>
    <mergeCell ref="C8:C10"/>
    <mergeCell ref="D8:D10"/>
    <mergeCell ref="E8:E10"/>
    <mergeCell ref="F8:F10"/>
    <mergeCell ref="G8:I8"/>
  </mergeCells>
  <pageMargins left="0.7" right="0.6" top="0.7" bottom="0.6" header="0.31496062992126" footer="0.31496062992126"/>
  <pageSetup paperSize="9" scale="75" orientation="landscape" r:id="rId1"/>
  <headerFooter>
    <oddHeader>&amp;RBiểu số 08</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23"/>
  <sheetViews>
    <sheetView workbookViewId="0">
      <selection activeCell="A4" sqref="A4:Z4"/>
    </sheetView>
  </sheetViews>
  <sheetFormatPr defaultRowHeight="15" x14ac:dyDescent="0.25"/>
  <cols>
    <col min="1" max="1" width="2.85546875" style="57" customWidth="1"/>
    <col min="2" max="2" width="12.28515625" style="57" customWidth="1"/>
    <col min="3" max="3" width="8.28515625" style="57" customWidth="1"/>
    <col min="4" max="4" width="7.5703125" style="57" customWidth="1"/>
    <col min="5" max="5" width="7.85546875" style="57" customWidth="1"/>
    <col min="6" max="6" width="5.140625" style="57" customWidth="1"/>
    <col min="7" max="7" width="8" style="57" customWidth="1"/>
    <col min="8" max="10" width="6.42578125" style="57" customWidth="1"/>
    <col min="11" max="11" width="7.7109375" style="57" customWidth="1"/>
    <col min="12" max="12" width="7.85546875" style="57" customWidth="1"/>
    <col min="13" max="13" width="7.5703125" style="57" customWidth="1"/>
    <col min="14" max="14" width="5.140625" style="57" customWidth="1"/>
    <col min="15" max="15" width="7.5703125" style="57" customWidth="1"/>
    <col min="16" max="16" width="6.28515625" style="57" customWidth="1"/>
    <col min="17" max="17" width="6.42578125" style="57" customWidth="1"/>
    <col min="18" max="18" width="6.28515625" style="57" customWidth="1"/>
    <col min="19" max="19" width="5.42578125" style="57" customWidth="1"/>
    <col min="20" max="20" width="4.85546875" style="57" customWidth="1"/>
    <col min="21" max="22" width="5.28515625" style="57" customWidth="1"/>
    <col min="23" max="23" width="5.5703125" style="57" customWidth="1"/>
    <col min="24" max="24" width="6.42578125" style="57" customWidth="1"/>
    <col min="25" max="25" width="6" style="57" customWidth="1"/>
    <col min="26" max="26" width="5.140625" style="57" customWidth="1"/>
    <col min="27" max="256" width="8.85546875" style="57"/>
    <col min="257" max="257" width="1.7109375" style="57" customWidth="1"/>
    <col min="258" max="258" width="10.5703125" style="57" customWidth="1"/>
    <col min="259" max="259" width="7.42578125" style="57" customWidth="1"/>
    <col min="260" max="260" width="7.5703125" style="57" customWidth="1"/>
    <col min="261" max="261" width="6.28515625" style="57" customWidth="1"/>
    <col min="262" max="262" width="6" style="57" customWidth="1"/>
    <col min="263" max="263" width="6.42578125" style="57" customWidth="1"/>
    <col min="264" max="266" width="7.42578125" style="57" customWidth="1"/>
    <col min="267" max="267" width="6.85546875" style="57" customWidth="1"/>
    <col min="268" max="268" width="7" style="57" customWidth="1"/>
    <col min="269" max="269" width="6.5703125" style="57" customWidth="1"/>
    <col min="270" max="270" width="6.7109375" style="57" customWidth="1"/>
    <col min="271" max="272" width="6.5703125" style="57" customWidth="1"/>
    <col min="273" max="273" width="6.85546875" style="57" customWidth="1"/>
    <col min="274" max="274" width="6.7109375" style="57" customWidth="1"/>
    <col min="275" max="275" width="4.7109375" style="57" customWidth="1"/>
    <col min="276" max="276" width="4.42578125" style="57" customWidth="1"/>
    <col min="277" max="277" width="5.28515625" style="57" customWidth="1"/>
    <col min="278" max="279" width="4.5703125" style="57" customWidth="1"/>
    <col min="280" max="280" width="5" style="57" customWidth="1"/>
    <col min="281" max="281" width="5.42578125" style="57" customWidth="1"/>
    <col min="282" max="282" width="4.7109375" style="57" customWidth="1"/>
    <col min="283" max="512" width="8.85546875" style="57"/>
    <col min="513" max="513" width="1.7109375" style="57" customWidth="1"/>
    <col min="514" max="514" width="10.5703125" style="57" customWidth="1"/>
    <col min="515" max="515" width="7.42578125" style="57" customWidth="1"/>
    <col min="516" max="516" width="7.5703125" style="57" customWidth="1"/>
    <col min="517" max="517" width="6.28515625" style="57" customWidth="1"/>
    <col min="518" max="518" width="6" style="57" customWidth="1"/>
    <col min="519" max="519" width="6.42578125" style="57" customWidth="1"/>
    <col min="520" max="522" width="7.42578125" style="57" customWidth="1"/>
    <col min="523" max="523" width="6.85546875" style="57" customWidth="1"/>
    <col min="524" max="524" width="7" style="57" customWidth="1"/>
    <col min="525" max="525" width="6.5703125" style="57" customWidth="1"/>
    <col min="526" max="526" width="6.7109375" style="57" customWidth="1"/>
    <col min="527" max="528" width="6.5703125" style="57" customWidth="1"/>
    <col min="529" max="529" width="6.85546875" style="57" customWidth="1"/>
    <col min="530" max="530" width="6.7109375" style="57" customWidth="1"/>
    <col min="531" max="531" width="4.7109375" style="57" customWidth="1"/>
    <col min="532" max="532" width="4.42578125" style="57" customWidth="1"/>
    <col min="533" max="533" width="5.28515625" style="57" customWidth="1"/>
    <col min="534" max="535" width="4.5703125" style="57" customWidth="1"/>
    <col min="536" max="536" width="5" style="57" customWidth="1"/>
    <col min="537" max="537" width="5.42578125" style="57" customWidth="1"/>
    <col min="538" max="538" width="4.7109375" style="57" customWidth="1"/>
    <col min="539" max="768" width="8.85546875" style="57"/>
    <col min="769" max="769" width="1.7109375" style="57" customWidth="1"/>
    <col min="770" max="770" width="10.5703125" style="57" customWidth="1"/>
    <col min="771" max="771" width="7.42578125" style="57" customWidth="1"/>
    <col min="772" max="772" width="7.5703125" style="57" customWidth="1"/>
    <col min="773" max="773" width="6.28515625" style="57" customWidth="1"/>
    <col min="774" max="774" width="6" style="57" customWidth="1"/>
    <col min="775" max="775" width="6.42578125" style="57" customWidth="1"/>
    <col min="776" max="778" width="7.42578125" style="57" customWidth="1"/>
    <col min="779" max="779" width="6.85546875" style="57" customWidth="1"/>
    <col min="780" max="780" width="7" style="57" customWidth="1"/>
    <col min="781" max="781" width="6.5703125" style="57" customWidth="1"/>
    <col min="782" max="782" width="6.7109375" style="57" customWidth="1"/>
    <col min="783" max="784" width="6.5703125" style="57" customWidth="1"/>
    <col min="785" max="785" width="6.85546875" style="57" customWidth="1"/>
    <col min="786" max="786" width="6.7109375" style="57" customWidth="1"/>
    <col min="787" max="787" width="4.7109375" style="57" customWidth="1"/>
    <col min="788" max="788" width="4.42578125" style="57" customWidth="1"/>
    <col min="789" max="789" width="5.28515625" style="57" customWidth="1"/>
    <col min="790" max="791" width="4.5703125" style="57" customWidth="1"/>
    <col min="792" max="792" width="5" style="57" customWidth="1"/>
    <col min="793" max="793" width="5.42578125" style="57" customWidth="1"/>
    <col min="794" max="794" width="4.7109375" style="57" customWidth="1"/>
    <col min="795" max="1024" width="9.140625" style="57"/>
    <col min="1025" max="1025" width="1.7109375" style="57" customWidth="1"/>
    <col min="1026" max="1026" width="10.5703125" style="57" customWidth="1"/>
    <col min="1027" max="1027" width="7.42578125" style="57" customWidth="1"/>
    <col min="1028" max="1028" width="7.5703125" style="57" customWidth="1"/>
    <col min="1029" max="1029" width="6.28515625" style="57" customWidth="1"/>
    <col min="1030" max="1030" width="6" style="57" customWidth="1"/>
    <col min="1031" max="1031" width="6.42578125" style="57" customWidth="1"/>
    <col min="1032" max="1034" width="7.42578125" style="57" customWidth="1"/>
    <col min="1035" max="1035" width="6.85546875" style="57" customWidth="1"/>
    <col min="1036" max="1036" width="7" style="57" customWidth="1"/>
    <col min="1037" max="1037" width="6.5703125" style="57" customWidth="1"/>
    <col min="1038" max="1038" width="6.7109375" style="57" customWidth="1"/>
    <col min="1039" max="1040" width="6.5703125" style="57" customWidth="1"/>
    <col min="1041" max="1041" width="6.85546875" style="57" customWidth="1"/>
    <col min="1042" max="1042" width="6.7109375" style="57" customWidth="1"/>
    <col min="1043" max="1043" width="4.7109375" style="57" customWidth="1"/>
    <col min="1044" max="1044" width="4.42578125" style="57" customWidth="1"/>
    <col min="1045" max="1045" width="5.28515625" style="57" customWidth="1"/>
    <col min="1046" max="1047" width="4.5703125" style="57" customWidth="1"/>
    <col min="1048" max="1048" width="5" style="57" customWidth="1"/>
    <col min="1049" max="1049" width="5.42578125" style="57" customWidth="1"/>
    <col min="1050" max="1050" width="4.7109375" style="57" customWidth="1"/>
    <col min="1051" max="1280" width="8.85546875" style="57"/>
    <col min="1281" max="1281" width="1.7109375" style="57" customWidth="1"/>
    <col min="1282" max="1282" width="10.5703125" style="57" customWidth="1"/>
    <col min="1283" max="1283" width="7.42578125" style="57" customWidth="1"/>
    <col min="1284" max="1284" width="7.5703125" style="57" customWidth="1"/>
    <col min="1285" max="1285" width="6.28515625" style="57" customWidth="1"/>
    <col min="1286" max="1286" width="6" style="57" customWidth="1"/>
    <col min="1287" max="1287" width="6.42578125" style="57" customWidth="1"/>
    <col min="1288" max="1290" width="7.42578125" style="57" customWidth="1"/>
    <col min="1291" max="1291" width="6.85546875" style="57" customWidth="1"/>
    <col min="1292" max="1292" width="7" style="57" customWidth="1"/>
    <col min="1293" max="1293" width="6.5703125" style="57" customWidth="1"/>
    <col min="1294" max="1294" width="6.7109375" style="57" customWidth="1"/>
    <col min="1295" max="1296" width="6.5703125" style="57" customWidth="1"/>
    <col min="1297" max="1297" width="6.85546875" style="57" customWidth="1"/>
    <col min="1298" max="1298" width="6.7109375" style="57" customWidth="1"/>
    <col min="1299" max="1299" width="4.7109375" style="57" customWidth="1"/>
    <col min="1300" max="1300" width="4.42578125" style="57" customWidth="1"/>
    <col min="1301" max="1301" width="5.28515625" style="57" customWidth="1"/>
    <col min="1302" max="1303" width="4.5703125" style="57" customWidth="1"/>
    <col min="1304" max="1304" width="5" style="57" customWidth="1"/>
    <col min="1305" max="1305" width="5.42578125" style="57" customWidth="1"/>
    <col min="1306" max="1306" width="4.7109375" style="57" customWidth="1"/>
    <col min="1307" max="1536" width="8.85546875" style="57"/>
    <col min="1537" max="1537" width="1.7109375" style="57" customWidth="1"/>
    <col min="1538" max="1538" width="10.5703125" style="57" customWidth="1"/>
    <col min="1539" max="1539" width="7.42578125" style="57" customWidth="1"/>
    <col min="1540" max="1540" width="7.5703125" style="57" customWidth="1"/>
    <col min="1541" max="1541" width="6.28515625" style="57" customWidth="1"/>
    <col min="1542" max="1542" width="6" style="57" customWidth="1"/>
    <col min="1543" max="1543" width="6.42578125" style="57" customWidth="1"/>
    <col min="1544" max="1546" width="7.42578125" style="57" customWidth="1"/>
    <col min="1547" max="1547" width="6.85546875" style="57" customWidth="1"/>
    <col min="1548" max="1548" width="7" style="57" customWidth="1"/>
    <col min="1549" max="1549" width="6.5703125" style="57" customWidth="1"/>
    <col min="1550" max="1550" width="6.7109375" style="57" customWidth="1"/>
    <col min="1551" max="1552" width="6.5703125" style="57" customWidth="1"/>
    <col min="1553" max="1553" width="6.85546875" style="57" customWidth="1"/>
    <col min="1554" max="1554" width="6.7109375" style="57" customWidth="1"/>
    <col min="1555" max="1555" width="4.7109375" style="57" customWidth="1"/>
    <col min="1556" max="1556" width="4.42578125" style="57" customWidth="1"/>
    <col min="1557" max="1557" width="5.28515625" style="57" customWidth="1"/>
    <col min="1558" max="1559" width="4.5703125" style="57" customWidth="1"/>
    <col min="1560" max="1560" width="5" style="57" customWidth="1"/>
    <col min="1561" max="1561" width="5.42578125" style="57" customWidth="1"/>
    <col min="1562" max="1562" width="4.7109375" style="57" customWidth="1"/>
    <col min="1563" max="1792" width="8.85546875" style="57"/>
    <col min="1793" max="1793" width="1.7109375" style="57" customWidth="1"/>
    <col min="1794" max="1794" width="10.5703125" style="57" customWidth="1"/>
    <col min="1795" max="1795" width="7.42578125" style="57" customWidth="1"/>
    <col min="1796" max="1796" width="7.5703125" style="57" customWidth="1"/>
    <col min="1797" max="1797" width="6.28515625" style="57" customWidth="1"/>
    <col min="1798" max="1798" width="6" style="57" customWidth="1"/>
    <col min="1799" max="1799" width="6.42578125" style="57" customWidth="1"/>
    <col min="1800" max="1802" width="7.42578125" style="57" customWidth="1"/>
    <col min="1803" max="1803" width="6.85546875" style="57" customWidth="1"/>
    <col min="1804" max="1804" width="7" style="57" customWidth="1"/>
    <col min="1805" max="1805" width="6.5703125" style="57" customWidth="1"/>
    <col min="1806" max="1806" width="6.7109375" style="57" customWidth="1"/>
    <col min="1807" max="1808" width="6.5703125" style="57" customWidth="1"/>
    <col min="1809" max="1809" width="6.85546875" style="57" customWidth="1"/>
    <col min="1810" max="1810" width="6.7109375" style="57" customWidth="1"/>
    <col min="1811" max="1811" width="4.7109375" style="57" customWidth="1"/>
    <col min="1812" max="1812" width="4.42578125" style="57" customWidth="1"/>
    <col min="1813" max="1813" width="5.28515625" style="57" customWidth="1"/>
    <col min="1814" max="1815" width="4.5703125" style="57" customWidth="1"/>
    <col min="1816" max="1816" width="5" style="57" customWidth="1"/>
    <col min="1817" max="1817" width="5.42578125" style="57" customWidth="1"/>
    <col min="1818" max="1818" width="4.7109375" style="57" customWidth="1"/>
    <col min="1819" max="2048" width="9.140625" style="57"/>
    <col min="2049" max="2049" width="1.7109375" style="57" customWidth="1"/>
    <col min="2050" max="2050" width="10.5703125" style="57" customWidth="1"/>
    <col min="2051" max="2051" width="7.42578125" style="57" customWidth="1"/>
    <col min="2052" max="2052" width="7.5703125" style="57" customWidth="1"/>
    <col min="2053" max="2053" width="6.28515625" style="57" customWidth="1"/>
    <col min="2054" max="2054" width="6" style="57" customWidth="1"/>
    <col min="2055" max="2055" width="6.42578125" style="57" customWidth="1"/>
    <col min="2056" max="2058" width="7.42578125" style="57" customWidth="1"/>
    <col min="2059" max="2059" width="6.85546875" style="57" customWidth="1"/>
    <col min="2060" max="2060" width="7" style="57" customWidth="1"/>
    <col min="2061" max="2061" width="6.5703125" style="57" customWidth="1"/>
    <col min="2062" max="2062" width="6.7109375" style="57" customWidth="1"/>
    <col min="2063" max="2064" width="6.5703125" style="57" customWidth="1"/>
    <col min="2065" max="2065" width="6.85546875" style="57" customWidth="1"/>
    <col min="2066" max="2066" width="6.7109375" style="57" customWidth="1"/>
    <col min="2067" max="2067" width="4.7109375" style="57" customWidth="1"/>
    <col min="2068" max="2068" width="4.42578125" style="57" customWidth="1"/>
    <col min="2069" max="2069" width="5.28515625" style="57" customWidth="1"/>
    <col min="2070" max="2071" width="4.5703125" style="57" customWidth="1"/>
    <col min="2072" max="2072" width="5" style="57" customWidth="1"/>
    <col min="2073" max="2073" width="5.42578125" style="57" customWidth="1"/>
    <col min="2074" max="2074" width="4.7109375" style="57" customWidth="1"/>
    <col min="2075" max="2304" width="8.85546875" style="57"/>
    <col min="2305" max="2305" width="1.7109375" style="57" customWidth="1"/>
    <col min="2306" max="2306" width="10.5703125" style="57" customWidth="1"/>
    <col min="2307" max="2307" width="7.42578125" style="57" customWidth="1"/>
    <col min="2308" max="2308" width="7.5703125" style="57" customWidth="1"/>
    <col min="2309" max="2309" width="6.28515625" style="57" customWidth="1"/>
    <col min="2310" max="2310" width="6" style="57" customWidth="1"/>
    <col min="2311" max="2311" width="6.42578125" style="57" customWidth="1"/>
    <col min="2312" max="2314" width="7.42578125" style="57" customWidth="1"/>
    <col min="2315" max="2315" width="6.85546875" style="57" customWidth="1"/>
    <col min="2316" max="2316" width="7" style="57" customWidth="1"/>
    <col min="2317" max="2317" width="6.5703125" style="57" customWidth="1"/>
    <col min="2318" max="2318" width="6.7109375" style="57" customWidth="1"/>
    <col min="2319" max="2320" width="6.5703125" style="57" customWidth="1"/>
    <col min="2321" max="2321" width="6.85546875" style="57" customWidth="1"/>
    <col min="2322" max="2322" width="6.7109375" style="57" customWidth="1"/>
    <col min="2323" max="2323" width="4.7109375" style="57" customWidth="1"/>
    <col min="2324" max="2324" width="4.42578125" style="57" customWidth="1"/>
    <col min="2325" max="2325" width="5.28515625" style="57" customWidth="1"/>
    <col min="2326" max="2327" width="4.5703125" style="57" customWidth="1"/>
    <col min="2328" max="2328" width="5" style="57" customWidth="1"/>
    <col min="2329" max="2329" width="5.42578125" style="57" customWidth="1"/>
    <col min="2330" max="2330" width="4.7109375" style="57" customWidth="1"/>
    <col min="2331" max="2560" width="8.85546875" style="57"/>
    <col min="2561" max="2561" width="1.7109375" style="57" customWidth="1"/>
    <col min="2562" max="2562" width="10.5703125" style="57" customWidth="1"/>
    <col min="2563" max="2563" width="7.42578125" style="57" customWidth="1"/>
    <col min="2564" max="2564" width="7.5703125" style="57" customWidth="1"/>
    <col min="2565" max="2565" width="6.28515625" style="57" customWidth="1"/>
    <col min="2566" max="2566" width="6" style="57" customWidth="1"/>
    <col min="2567" max="2567" width="6.42578125" style="57" customWidth="1"/>
    <col min="2568" max="2570" width="7.42578125" style="57" customWidth="1"/>
    <col min="2571" max="2571" width="6.85546875" style="57" customWidth="1"/>
    <col min="2572" max="2572" width="7" style="57" customWidth="1"/>
    <col min="2573" max="2573" width="6.5703125" style="57" customWidth="1"/>
    <col min="2574" max="2574" width="6.7109375" style="57" customWidth="1"/>
    <col min="2575" max="2576" width="6.5703125" style="57" customWidth="1"/>
    <col min="2577" max="2577" width="6.85546875" style="57" customWidth="1"/>
    <col min="2578" max="2578" width="6.7109375" style="57" customWidth="1"/>
    <col min="2579" max="2579" width="4.7109375" style="57" customWidth="1"/>
    <col min="2580" max="2580" width="4.42578125" style="57" customWidth="1"/>
    <col min="2581" max="2581" width="5.28515625" style="57" customWidth="1"/>
    <col min="2582" max="2583" width="4.5703125" style="57" customWidth="1"/>
    <col min="2584" max="2584" width="5" style="57" customWidth="1"/>
    <col min="2585" max="2585" width="5.42578125" style="57" customWidth="1"/>
    <col min="2586" max="2586" width="4.7109375" style="57" customWidth="1"/>
    <col min="2587" max="2816" width="8.85546875" style="57"/>
    <col min="2817" max="2817" width="1.7109375" style="57" customWidth="1"/>
    <col min="2818" max="2818" width="10.5703125" style="57" customWidth="1"/>
    <col min="2819" max="2819" width="7.42578125" style="57" customWidth="1"/>
    <col min="2820" max="2820" width="7.5703125" style="57" customWidth="1"/>
    <col min="2821" max="2821" width="6.28515625" style="57" customWidth="1"/>
    <col min="2822" max="2822" width="6" style="57" customWidth="1"/>
    <col min="2823" max="2823" width="6.42578125" style="57" customWidth="1"/>
    <col min="2824" max="2826" width="7.42578125" style="57" customWidth="1"/>
    <col min="2827" max="2827" width="6.85546875" style="57" customWidth="1"/>
    <col min="2828" max="2828" width="7" style="57" customWidth="1"/>
    <col min="2829" max="2829" width="6.5703125" style="57" customWidth="1"/>
    <col min="2830" max="2830" width="6.7109375" style="57" customWidth="1"/>
    <col min="2831" max="2832" width="6.5703125" style="57" customWidth="1"/>
    <col min="2833" max="2833" width="6.85546875" style="57" customWidth="1"/>
    <col min="2834" max="2834" width="6.7109375" style="57" customWidth="1"/>
    <col min="2835" max="2835" width="4.7109375" style="57" customWidth="1"/>
    <col min="2836" max="2836" width="4.42578125" style="57" customWidth="1"/>
    <col min="2837" max="2837" width="5.28515625" style="57" customWidth="1"/>
    <col min="2838" max="2839" width="4.5703125" style="57" customWidth="1"/>
    <col min="2840" max="2840" width="5" style="57" customWidth="1"/>
    <col min="2841" max="2841" width="5.42578125" style="57" customWidth="1"/>
    <col min="2842" max="2842" width="4.7109375" style="57" customWidth="1"/>
    <col min="2843" max="3072" width="9.140625" style="57"/>
    <col min="3073" max="3073" width="1.7109375" style="57" customWidth="1"/>
    <col min="3074" max="3074" width="10.5703125" style="57" customWidth="1"/>
    <col min="3075" max="3075" width="7.42578125" style="57" customWidth="1"/>
    <col min="3076" max="3076" width="7.5703125" style="57" customWidth="1"/>
    <col min="3077" max="3077" width="6.28515625" style="57" customWidth="1"/>
    <col min="3078" max="3078" width="6" style="57" customWidth="1"/>
    <col min="3079" max="3079" width="6.42578125" style="57" customWidth="1"/>
    <col min="3080" max="3082" width="7.42578125" style="57" customWidth="1"/>
    <col min="3083" max="3083" width="6.85546875" style="57" customWidth="1"/>
    <col min="3084" max="3084" width="7" style="57" customWidth="1"/>
    <col min="3085" max="3085" width="6.5703125" style="57" customWidth="1"/>
    <col min="3086" max="3086" width="6.7109375" style="57" customWidth="1"/>
    <col min="3087" max="3088" width="6.5703125" style="57" customWidth="1"/>
    <col min="3089" max="3089" width="6.85546875" style="57" customWidth="1"/>
    <col min="3090" max="3090" width="6.7109375" style="57" customWidth="1"/>
    <col min="3091" max="3091" width="4.7109375" style="57" customWidth="1"/>
    <col min="3092" max="3092" width="4.42578125" style="57" customWidth="1"/>
    <col min="3093" max="3093" width="5.28515625" style="57" customWidth="1"/>
    <col min="3094" max="3095" width="4.5703125" style="57" customWidth="1"/>
    <col min="3096" max="3096" width="5" style="57" customWidth="1"/>
    <col min="3097" max="3097" width="5.42578125" style="57" customWidth="1"/>
    <col min="3098" max="3098" width="4.7109375" style="57" customWidth="1"/>
    <col min="3099" max="3328" width="8.85546875" style="57"/>
    <col min="3329" max="3329" width="1.7109375" style="57" customWidth="1"/>
    <col min="3330" max="3330" width="10.5703125" style="57" customWidth="1"/>
    <col min="3331" max="3331" width="7.42578125" style="57" customWidth="1"/>
    <col min="3332" max="3332" width="7.5703125" style="57" customWidth="1"/>
    <col min="3333" max="3333" width="6.28515625" style="57" customWidth="1"/>
    <col min="3334" max="3334" width="6" style="57" customWidth="1"/>
    <col min="3335" max="3335" width="6.42578125" style="57" customWidth="1"/>
    <col min="3336" max="3338" width="7.42578125" style="57" customWidth="1"/>
    <col min="3339" max="3339" width="6.85546875" style="57" customWidth="1"/>
    <col min="3340" max="3340" width="7" style="57" customWidth="1"/>
    <col min="3341" max="3341" width="6.5703125" style="57" customWidth="1"/>
    <col min="3342" max="3342" width="6.7109375" style="57" customWidth="1"/>
    <col min="3343" max="3344" width="6.5703125" style="57" customWidth="1"/>
    <col min="3345" max="3345" width="6.85546875" style="57" customWidth="1"/>
    <col min="3346" max="3346" width="6.7109375" style="57" customWidth="1"/>
    <col min="3347" max="3347" width="4.7109375" style="57" customWidth="1"/>
    <col min="3348" max="3348" width="4.42578125" style="57" customWidth="1"/>
    <col min="3349" max="3349" width="5.28515625" style="57" customWidth="1"/>
    <col min="3350" max="3351" width="4.5703125" style="57" customWidth="1"/>
    <col min="3352" max="3352" width="5" style="57" customWidth="1"/>
    <col min="3353" max="3353" width="5.42578125" style="57" customWidth="1"/>
    <col min="3354" max="3354" width="4.7109375" style="57" customWidth="1"/>
    <col min="3355" max="3584" width="8.85546875" style="57"/>
    <col min="3585" max="3585" width="1.7109375" style="57" customWidth="1"/>
    <col min="3586" max="3586" width="10.5703125" style="57" customWidth="1"/>
    <col min="3587" max="3587" width="7.42578125" style="57" customWidth="1"/>
    <col min="3588" max="3588" width="7.5703125" style="57" customWidth="1"/>
    <col min="3589" max="3589" width="6.28515625" style="57" customWidth="1"/>
    <col min="3590" max="3590" width="6" style="57" customWidth="1"/>
    <col min="3591" max="3591" width="6.42578125" style="57" customWidth="1"/>
    <col min="3592" max="3594" width="7.42578125" style="57" customWidth="1"/>
    <col min="3595" max="3595" width="6.85546875" style="57" customWidth="1"/>
    <col min="3596" max="3596" width="7" style="57" customWidth="1"/>
    <col min="3597" max="3597" width="6.5703125" style="57" customWidth="1"/>
    <col min="3598" max="3598" width="6.7109375" style="57" customWidth="1"/>
    <col min="3599" max="3600" width="6.5703125" style="57" customWidth="1"/>
    <col min="3601" max="3601" width="6.85546875" style="57" customWidth="1"/>
    <col min="3602" max="3602" width="6.7109375" style="57" customWidth="1"/>
    <col min="3603" max="3603" width="4.7109375" style="57" customWidth="1"/>
    <col min="3604" max="3604" width="4.42578125" style="57" customWidth="1"/>
    <col min="3605" max="3605" width="5.28515625" style="57" customWidth="1"/>
    <col min="3606" max="3607" width="4.5703125" style="57" customWidth="1"/>
    <col min="3608" max="3608" width="5" style="57" customWidth="1"/>
    <col min="3609" max="3609" width="5.42578125" style="57" customWidth="1"/>
    <col min="3610" max="3610" width="4.7109375" style="57" customWidth="1"/>
    <col min="3611" max="3840" width="8.85546875" style="57"/>
    <col min="3841" max="3841" width="1.7109375" style="57" customWidth="1"/>
    <col min="3842" max="3842" width="10.5703125" style="57" customWidth="1"/>
    <col min="3843" max="3843" width="7.42578125" style="57" customWidth="1"/>
    <col min="3844" max="3844" width="7.5703125" style="57" customWidth="1"/>
    <col min="3845" max="3845" width="6.28515625" style="57" customWidth="1"/>
    <col min="3846" max="3846" width="6" style="57" customWidth="1"/>
    <col min="3847" max="3847" width="6.42578125" style="57" customWidth="1"/>
    <col min="3848" max="3850" width="7.42578125" style="57" customWidth="1"/>
    <col min="3851" max="3851" width="6.85546875" style="57" customWidth="1"/>
    <col min="3852" max="3852" width="7" style="57" customWidth="1"/>
    <col min="3853" max="3853" width="6.5703125" style="57" customWidth="1"/>
    <col min="3854" max="3854" width="6.7109375" style="57" customWidth="1"/>
    <col min="3855" max="3856" width="6.5703125" style="57" customWidth="1"/>
    <col min="3857" max="3857" width="6.85546875" style="57" customWidth="1"/>
    <col min="3858" max="3858" width="6.7109375" style="57" customWidth="1"/>
    <col min="3859" max="3859" width="4.7109375" style="57" customWidth="1"/>
    <col min="3860" max="3860" width="4.42578125" style="57" customWidth="1"/>
    <col min="3861" max="3861" width="5.28515625" style="57" customWidth="1"/>
    <col min="3862" max="3863" width="4.5703125" style="57" customWidth="1"/>
    <col min="3864" max="3864" width="5" style="57" customWidth="1"/>
    <col min="3865" max="3865" width="5.42578125" style="57" customWidth="1"/>
    <col min="3866" max="3866" width="4.7109375" style="57" customWidth="1"/>
    <col min="3867" max="4096" width="9.140625" style="57"/>
    <col min="4097" max="4097" width="1.7109375" style="57" customWidth="1"/>
    <col min="4098" max="4098" width="10.5703125" style="57" customWidth="1"/>
    <col min="4099" max="4099" width="7.42578125" style="57" customWidth="1"/>
    <col min="4100" max="4100" width="7.5703125" style="57" customWidth="1"/>
    <col min="4101" max="4101" width="6.28515625" style="57" customWidth="1"/>
    <col min="4102" max="4102" width="6" style="57" customWidth="1"/>
    <col min="4103" max="4103" width="6.42578125" style="57" customWidth="1"/>
    <col min="4104" max="4106" width="7.42578125" style="57" customWidth="1"/>
    <col min="4107" max="4107" width="6.85546875" style="57" customWidth="1"/>
    <col min="4108" max="4108" width="7" style="57" customWidth="1"/>
    <col min="4109" max="4109" width="6.5703125" style="57" customWidth="1"/>
    <col min="4110" max="4110" width="6.7109375" style="57" customWidth="1"/>
    <col min="4111" max="4112" width="6.5703125" style="57" customWidth="1"/>
    <col min="4113" max="4113" width="6.85546875" style="57" customWidth="1"/>
    <col min="4114" max="4114" width="6.7109375" style="57" customWidth="1"/>
    <col min="4115" max="4115" width="4.7109375" style="57" customWidth="1"/>
    <col min="4116" max="4116" width="4.42578125" style="57" customWidth="1"/>
    <col min="4117" max="4117" width="5.28515625" style="57" customWidth="1"/>
    <col min="4118" max="4119" width="4.5703125" style="57" customWidth="1"/>
    <col min="4120" max="4120" width="5" style="57" customWidth="1"/>
    <col min="4121" max="4121" width="5.42578125" style="57" customWidth="1"/>
    <col min="4122" max="4122" width="4.7109375" style="57" customWidth="1"/>
    <col min="4123" max="4352" width="8.85546875" style="57"/>
    <col min="4353" max="4353" width="1.7109375" style="57" customWidth="1"/>
    <col min="4354" max="4354" width="10.5703125" style="57" customWidth="1"/>
    <col min="4355" max="4355" width="7.42578125" style="57" customWidth="1"/>
    <col min="4356" max="4356" width="7.5703125" style="57" customWidth="1"/>
    <col min="4357" max="4357" width="6.28515625" style="57" customWidth="1"/>
    <col min="4358" max="4358" width="6" style="57" customWidth="1"/>
    <col min="4359" max="4359" width="6.42578125" style="57" customWidth="1"/>
    <col min="4360" max="4362" width="7.42578125" style="57" customWidth="1"/>
    <col min="4363" max="4363" width="6.85546875" style="57" customWidth="1"/>
    <col min="4364" max="4364" width="7" style="57" customWidth="1"/>
    <col min="4365" max="4365" width="6.5703125" style="57" customWidth="1"/>
    <col min="4366" max="4366" width="6.7109375" style="57" customWidth="1"/>
    <col min="4367" max="4368" width="6.5703125" style="57" customWidth="1"/>
    <col min="4369" max="4369" width="6.85546875" style="57" customWidth="1"/>
    <col min="4370" max="4370" width="6.7109375" style="57" customWidth="1"/>
    <col min="4371" max="4371" width="4.7109375" style="57" customWidth="1"/>
    <col min="4372" max="4372" width="4.42578125" style="57" customWidth="1"/>
    <col min="4373" max="4373" width="5.28515625" style="57" customWidth="1"/>
    <col min="4374" max="4375" width="4.5703125" style="57" customWidth="1"/>
    <col min="4376" max="4376" width="5" style="57" customWidth="1"/>
    <col min="4377" max="4377" width="5.42578125" style="57" customWidth="1"/>
    <col min="4378" max="4378" width="4.7109375" style="57" customWidth="1"/>
    <col min="4379" max="4608" width="8.85546875" style="57"/>
    <col min="4609" max="4609" width="1.7109375" style="57" customWidth="1"/>
    <col min="4610" max="4610" width="10.5703125" style="57" customWidth="1"/>
    <col min="4611" max="4611" width="7.42578125" style="57" customWidth="1"/>
    <col min="4612" max="4612" width="7.5703125" style="57" customWidth="1"/>
    <col min="4613" max="4613" width="6.28515625" style="57" customWidth="1"/>
    <col min="4614" max="4614" width="6" style="57" customWidth="1"/>
    <col min="4615" max="4615" width="6.42578125" style="57" customWidth="1"/>
    <col min="4616" max="4618" width="7.42578125" style="57" customWidth="1"/>
    <col min="4619" max="4619" width="6.85546875" style="57" customWidth="1"/>
    <col min="4620" max="4620" width="7" style="57" customWidth="1"/>
    <col min="4621" max="4621" width="6.5703125" style="57" customWidth="1"/>
    <col min="4622" max="4622" width="6.7109375" style="57" customWidth="1"/>
    <col min="4623" max="4624" width="6.5703125" style="57" customWidth="1"/>
    <col min="4625" max="4625" width="6.85546875" style="57" customWidth="1"/>
    <col min="4626" max="4626" width="6.7109375" style="57" customWidth="1"/>
    <col min="4627" max="4627" width="4.7109375" style="57" customWidth="1"/>
    <col min="4628" max="4628" width="4.42578125" style="57" customWidth="1"/>
    <col min="4629" max="4629" width="5.28515625" style="57" customWidth="1"/>
    <col min="4630" max="4631" width="4.5703125" style="57" customWidth="1"/>
    <col min="4632" max="4632" width="5" style="57" customWidth="1"/>
    <col min="4633" max="4633" width="5.42578125" style="57" customWidth="1"/>
    <col min="4634" max="4634" width="4.7109375" style="57" customWidth="1"/>
    <col min="4635" max="4864" width="8.85546875" style="57"/>
    <col min="4865" max="4865" width="1.7109375" style="57" customWidth="1"/>
    <col min="4866" max="4866" width="10.5703125" style="57" customWidth="1"/>
    <col min="4867" max="4867" width="7.42578125" style="57" customWidth="1"/>
    <col min="4868" max="4868" width="7.5703125" style="57" customWidth="1"/>
    <col min="4869" max="4869" width="6.28515625" style="57" customWidth="1"/>
    <col min="4870" max="4870" width="6" style="57" customWidth="1"/>
    <col min="4871" max="4871" width="6.42578125" style="57" customWidth="1"/>
    <col min="4872" max="4874" width="7.42578125" style="57" customWidth="1"/>
    <col min="4875" max="4875" width="6.85546875" style="57" customWidth="1"/>
    <col min="4876" max="4876" width="7" style="57" customWidth="1"/>
    <col min="4877" max="4877" width="6.5703125" style="57" customWidth="1"/>
    <col min="4878" max="4878" width="6.7109375" style="57" customWidth="1"/>
    <col min="4879" max="4880" width="6.5703125" style="57" customWidth="1"/>
    <col min="4881" max="4881" width="6.85546875" style="57" customWidth="1"/>
    <col min="4882" max="4882" width="6.7109375" style="57" customWidth="1"/>
    <col min="4883" max="4883" width="4.7109375" style="57" customWidth="1"/>
    <col min="4884" max="4884" width="4.42578125" style="57" customWidth="1"/>
    <col min="4885" max="4885" width="5.28515625" style="57" customWidth="1"/>
    <col min="4886" max="4887" width="4.5703125" style="57" customWidth="1"/>
    <col min="4888" max="4888" width="5" style="57" customWidth="1"/>
    <col min="4889" max="4889" width="5.42578125" style="57" customWidth="1"/>
    <col min="4890" max="4890" width="4.7109375" style="57" customWidth="1"/>
    <col min="4891" max="5120" width="9.140625" style="57"/>
    <col min="5121" max="5121" width="1.7109375" style="57" customWidth="1"/>
    <col min="5122" max="5122" width="10.5703125" style="57" customWidth="1"/>
    <col min="5123" max="5123" width="7.42578125" style="57" customWidth="1"/>
    <col min="5124" max="5124" width="7.5703125" style="57" customWidth="1"/>
    <col min="5125" max="5125" width="6.28515625" style="57" customWidth="1"/>
    <col min="5126" max="5126" width="6" style="57" customWidth="1"/>
    <col min="5127" max="5127" width="6.42578125" style="57" customWidth="1"/>
    <col min="5128" max="5130" width="7.42578125" style="57" customWidth="1"/>
    <col min="5131" max="5131" width="6.85546875" style="57" customWidth="1"/>
    <col min="5132" max="5132" width="7" style="57" customWidth="1"/>
    <col min="5133" max="5133" width="6.5703125" style="57" customWidth="1"/>
    <col min="5134" max="5134" width="6.7109375" style="57" customWidth="1"/>
    <col min="5135" max="5136" width="6.5703125" style="57" customWidth="1"/>
    <col min="5137" max="5137" width="6.85546875" style="57" customWidth="1"/>
    <col min="5138" max="5138" width="6.7109375" style="57" customWidth="1"/>
    <col min="5139" max="5139" width="4.7109375" style="57" customWidth="1"/>
    <col min="5140" max="5140" width="4.42578125" style="57" customWidth="1"/>
    <col min="5141" max="5141" width="5.28515625" style="57" customWidth="1"/>
    <col min="5142" max="5143" width="4.5703125" style="57" customWidth="1"/>
    <col min="5144" max="5144" width="5" style="57" customWidth="1"/>
    <col min="5145" max="5145" width="5.42578125" style="57" customWidth="1"/>
    <col min="5146" max="5146" width="4.7109375" style="57" customWidth="1"/>
    <col min="5147" max="5376" width="8.85546875" style="57"/>
    <col min="5377" max="5377" width="1.7109375" style="57" customWidth="1"/>
    <col min="5378" max="5378" width="10.5703125" style="57" customWidth="1"/>
    <col min="5379" max="5379" width="7.42578125" style="57" customWidth="1"/>
    <col min="5380" max="5380" width="7.5703125" style="57" customWidth="1"/>
    <col min="5381" max="5381" width="6.28515625" style="57" customWidth="1"/>
    <col min="5382" max="5382" width="6" style="57" customWidth="1"/>
    <col min="5383" max="5383" width="6.42578125" style="57" customWidth="1"/>
    <col min="5384" max="5386" width="7.42578125" style="57" customWidth="1"/>
    <col min="5387" max="5387" width="6.85546875" style="57" customWidth="1"/>
    <col min="5388" max="5388" width="7" style="57" customWidth="1"/>
    <col min="5389" max="5389" width="6.5703125" style="57" customWidth="1"/>
    <col min="5390" max="5390" width="6.7109375" style="57" customWidth="1"/>
    <col min="5391" max="5392" width="6.5703125" style="57" customWidth="1"/>
    <col min="5393" max="5393" width="6.85546875" style="57" customWidth="1"/>
    <col min="5394" max="5394" width="6.7109375" style="57" customWidth="1"/>
    <col min="5395" max="5395" width="4.7109375" style="57" customWidth="1"/>
    <col min="5396" max="5396" width="4.42578125" style="57" customWidth="1"/>
    <col min="5397" max="5397" width="5.28515625" style="57" customWidth="1"/>
    <col min="5398" max="5399" width="4.5703125" style="57" customWidth="1"/>
    <col min="5400" max="5400" width="5" style="57" customWidth="1"/>
    <col min="5401" max="5401" width="5.42578125" style="57" customWidth="1"/>
    <col min="5402" max="5402" width="4.7109375" style="57" customWidth="1"/>
    <col min="5403" max="5632" width="8.85546875" style="57"/>
    <col min="5633" max="5633" width="1.7109375" style="57" customWidth="1"/>
    <col min="5634" max="5634" width="10.5703125" style="57" customWidth="1"/>
    <col min="5635" max="5635" width="7.42578125" style="57" customWidth="1"/>
    <col min="5636" max="5636" width="7.5703125" style="57" customWidth="1"/>
    <col min="5637" max="5637" width="6.28515625" style="57" customWidth="1"/>
    <col min="5638" max="5638" width="6" style="57" customWidth="1"/>
    <col min="5639" max="5639" width="6.42578125" style="57" customWidth="1"/>
    <col min="5640" max="5642" width="7.42578125" style="57" customWidth="1"/>
    <col min="5643" max="5643" width="6.85546875" style="57" customWidth="1"/>
    <col min="5644" max="5644" width="7" style="57" customWidth="1"/>
    <col min="5645" max="5645" width="6.5703125" style="57" customWidth="1"/>
    <col min="5646" max="5646" width="6.7109375" style="57" customWidth="1"/>
    <col min="5647" max="5648" width="6.5703125" style="57" customWidth="1"/>
    <col min="5649" max="5649" width="6.85546875" style="57" customWidth="1"/>
    <col min="5650" max="5650" width="6.7109375" style="57" customWidth="1"/>
    <col min="5651" max="5651" width="4.7109375" style="57" customWidth="1"/>
    <col min="5652" max="5652" width="4.42578125" style="57" customWidth="1"/>
    <col min="5653" max="5653" width="5.28515625" style="57" customWidth="1"/>
    <col min="5654" max="5655" width="4.5703125" style="57" customWidth="1"/>
    <col min="5656" max="5656" width="5" style="57" customWidth="1"/>
    <col min="5657" max="5657" width="5.42578125" style="57" customWidth="1"/>
    <col min="5658" max="5658" width="4.7109375" style="57" customWidth="1"/>
    <col min="5659" max="5888" width="8.85546875" style="57"/>
    <col min="5889" max="5889" width="1.7109375" style="57" customWidth="1"/>
    <col min="5890" max="5890" width="10.5703125" style="57" customWidth="1"/>
    <col min="5891" max="5891" width="7.42578125" style="57" customWidth="1"/>
    <col min="5892" max="5892" width="7.5703125" style="57" customWidth="1"/>
    <col min="5893" max="5893" width="6.28515625" style="57" customWidth="1"/>
    <col min="5894" max="5894" width="6" style="57" customWidth="1"/>
    <col min="5895" max="5895" width="6.42578125" style="57" customWidth="1"/>
    <col min="5896" max="5898" width="7.42578125" style="57" customWidth="1"/>
    <col min="5899" max="5899" width="6.85546875" style="57" customWidth="1"/>
    <col min="5900" max="5900" width="7" style="57" customWidth="1"/>
    <col min="5901" max="5901" width="6.5703125" style="57" customWidth="1"/>
    <col min="5902" max="5902" width="6.7109375" style="57" customWidth="1"/>
    <col min="5903" max="5904" width="6.5703125" style="57" customWidth="1"/>
    <col min="5905" max="5905" width="6.85546875" style="57" customWidth="1"/>
    <col min="5906" max="5906" width="6.7109375" style="57" customWidth="1"/>
    <col min="5907" max="5907" width="4.7109375" style="57" customWidth="1"/>
    <col min="5908" max="5908" width="4.42578125" style="57" customWidth="1"/>
    <col min="5909" max="5909" width="5.28515625" style="57" customWidth="1"/>
    <col min="5910" max="5911" width="4.5703125" style="57" customWidth="1"/>
    <col min="5912" max="5912" width="5" style="57" customWidth="1"/>
    <col min="5913" max="5913" width="5.42578125" style="57" customWidth="1"/>
    <col min="5914" max="5914" width="4.7109375" style="57" customWidth="1"/>
    <col min="5915" max="6144" width="9.140625" style="57"/>
    <col min="6145" max="6145" width="1.7109375" style="57" customWidth="1"/>
    <col min="6146" max="6146" width="10.5703125" style="57" customWidth="1"/>
    <col min="6147" max="6147" width="7.42578125" style="57" customWidth="1"/>
    <col min="6148" max="6148" width="7.5703125" style="57" customWidth="1"/>
    <col min="6149" max="6149" width="6.28515625" style="57" customWidth="1"/>
    <col min="6150" max="6150" width="6" style="57" customWidth="1"/>
    <col min="6151" max="6151" width="6.42578125" style="57" customWidth="1"/>
    <col min="6152" max="6154" width="7.42578125" style="57" customWidth="1"/>
    <col min="6155" max="6155" width="6.85546875" style="57" customWidth="1"/>
    <col min="6156" max="6156" width="7" style="57" customWidth="1"/>
    <col min="6157" max="6157" width="6.5703125" style="57" customWidth="1"/>
    <col min="6158" max="6158" width="6.7109375" style="57" customWidth="1"/>
    <col min="6159" max="6160" width="6.5703125" style="57" customWidth="1"/>
    <col min="6161" max="6161" width="6.85546875" style="57" customWidth="1"/>
    <col min="6162" max="6162" width="6.7109375" style="57" customWidth="1"/>
    <col min="6163" max="6163" width="4.7109375" style="57" customWidth="1"/>
    <col min="6164" max="6164" width="4.42578125" style="57" customWidth="1"/>
    <col min="6165" max="6165" width="5.28515625" style="57" customWidth="1"/>
    <col min="6166" max="6167" width="4.5703125" style="57" customWidth="1"/>
    <col min="6168" max="6168" width="5" style="57" customWidth="1"/>
    <col min="6169" max="6169" width="5.42578125" style="57" customWidth="1"/>
    <col min="6170" max="6170" width="4.7109375" style="57" customWidth="1"/>
    <col min="6171" max="6400" width="8.85546875" style="57"/>
    <col min="6401" max="6401" width="1.7109375" style="57" customWidth="1"/>
    <col min="6402" max="6402" width="10.5703125" style="57" customWidth="1"/>
    <col min="6403" max="6403" width="7.42578125" style="57" customWidth="1"/>
    <col min="6404" max="6404" width="7.5703125" style="57" customWidth="1"/>
    <col min="6405" max="6405" width="6.28515625" style="57" customWidth="1"/>
    <col min="6406" max="6406" width="6" style="57" customWidth="1"/>
    <col min="6407" max="6407" width="6.42578125" style="57" customWidth="1"/>
    <col min="6408" max="6410" width="7.42578125" style="57" customWidth="1"/>
    <col min="6411" max="6411" width="6.85546875" style="57" customWidth="1"/>
    <col min="6412" max="6412" width="7" style="57" customWidth="1"/>
    <col min="6413" max="6413" width="6.5703125" style="57" customWidth="1"/>
    <col min="6414" max="6414" width="6.7109375" style="57" customWidth="1"/>
    <col min="6415" max="6416" width="6.5703125" style="57" customWidth="1"/>
    <col min="6417" max="6417" width="6.85546875" style="57" customWidth="1"/>
    <col min="6418" max="6418" width="6.7109375" style="57" customWidth="1"/>
    <col min="6419" max="6419" width="4.7109375" style="57" customWidth="1"/>
    <col min="6420" max="6420" width="4.42578125" style="57" customWidth="1"/>
    <col min="6421" max="6421" width="5.28515625" style="57" customWidth="1"/>
    <col min="6422" max="6423" width="4.5703125" style="57" customWidth="1"/>
    <col min="6424" max="6424" width="5" style="57" customWidth="1"/>
    <col min="6425" max="6425" width="5.42578125" style="57" customWidth="1"/>
    <col min="6426" max="6426" width="4.7109375" style="57" customWidth="1"/>
    <col min="6427" max="6656" width="8.85546875" style="57"/>
    <col min="6657" max="6657" width="1.7109375" style="57" customWidth="1"/>
    <col min="6658" max="6658" width="10.5703125" style="57" customWidth="1"/>
    <col min="6659" max="6659" width="7.42578125" style="57" customWidth="1"/>
    <col min="6660" max="6660" width="7.5703125" style="57" customWidth="1"/>
    <col min="6661" max="6661" width="6.28515625" style="57" customWidth="1"/>
    <col min="6662" max="6662" width="6" style="57" customWidth="1"/>
    <col min="6663" max="6663" width="6.42578125" style="57" customWidth="1"/>
    <col min="6664" max="6666" width="7.42578125" style="57" customWidth="1"/>
    <col min="6667" max="6667" width="6.85546875" style="57" customWidth="1"/>
    <col min="6668" max="6668" width="7" style="57" customWidth="1"/>
    <col min="6669" max="6669" width="6.5703125" style="57" customWidth="1"/>
    <col min="6670" max="6670" width="6.7109375" style="57" customWidth="1"/>
    <col min="6671" max="6672" width="6.5703125" style="57" customWidth="1"/>
    <col min="6673" max="6673" width="6.85546875" style="57" customWidth="1"/>
    <col min="6674" max="6674" width="6.7109375" style="57" customWidth="1"/>
    <col min="6675" max="6675" width="4.7109375" style="57" customWidth="1"/>
    <col min="6676" max="6676" width="4.42578125" style="57" customWidth="1"/>
    <col min="6677" max="6677" width="5.28515625" style="57" customWidth="1"/>
    <col min="6678" max="6679" width="4.5703125" style="57" customWidth="1"/>
    <col min="6680" max="6680" width="5" style="57" customWidth="1"/>
    <col min="6681" max="6681" width="5.42578125" style="57" customWidth="1"/>
    <col min="6682" max="6682" width="4.7109375" style="57" customWidth="1"/>
    <col min="6683" max="6912" width="8.85546875" style="57"/>
    <col min="6913" max="6913" width="1.7109375" style="57" customWidth="1"/>
    <col min="6914" max="6914" width="10.5703125" style="57" customWidth="1"/>
    <col min="6915" max="6915" width="7.42578125" style="57" customWidth="1"/>
    <col min="6916" max="6916" width="7.5703125" style="57" customWidth="1"/>
    <col min="6917" max="6917" width="6.28515625" style="57" customWidth="1"/>
    <col min="6918" max="6918" width="6" style="57" customWidth="1"/>
    <col min="6919" max="6919" width="6.42578125" style="57" customWidth="1"/>
    <col min="6920" max="6922" width="7.42578125" style="57" customWidth="1"/>
    <col min="6923" max="6923" width="6.85546875" style="57" customWidth="1"/>
    <col min="6924" max="6924" width="7" style="57" customWidth="1"/>
    <col min="6925" max="6925" width="6.5703125" style="57" customWidth="1"/>
    <col min="6926" max="6926" width="6.7109375" style="57" customWidth="1"/>
    <col min="6927" max="6928" width="6.5703125" style="57" customWidth="1"/>
    <col min="6929" max="6929" width="6.85546875" style="57" customWidth="1"/>
    <col min="6930" max="6930" width="6.7109375" style="57" customWidth="1"/>
    <col min="6931" max="6931" width="4.7109375" style="57" customWidth="1"/>
    <col min="6932" max="6932" width="4.42578125" style="57" customWidth="1"/>
    <col min="6933" max="6933" width="5.28515625" style="57" customWidth="1"/>
    <col min="6934" max="6935" width="4.5703125" style="57" customWidth="1"/>
    <col min="6936" max="6936" width="5" style="57" customWidth="1"/>
    <col min="6937" max="6937" width="5.42578125" style="57" customWidth="1"/>
    <col min="6938" max="6938" width="4.7109375" style="57" customWidth="1"/>
    <col min="6939" max="7168" width="9.140625" style="57"/>
    <col min="7169" max="7169" width="1.7109375" style="57" customWidth="1"/>
    <col min="7170" max="7170" width="10.5703125" style="57" customWidth="1"/>
    <col min="7171" max="7171" width="7.42578125" style="57" customWidth="1"/>
    <col min="7172" max="7172" width="7.5703125" style="57" customWidth="1"/>
    <col min="7173" max="7173" width="6.28515625" style="57" customWidth="1"/>
    <col min="7174" max="7174" width="6" style="57" customWidth="1"/>
    <col min="7175" max="7175" width="6.42578125" style="57" customWidth="1"/>
    <col min="7176" max="7178" width="7.42578125" style="57" customWidth="1"/>
    <col min="7179" max="7179" width="6.85546875" style="57" customWidth="1"/>
    <col min="7180" max="7180" width="7" style="57" customWidth="1"/>
    <col min="7181" max="7181" width="6.5703125" style="57" customWidth="1"/>
    <col min="7182" max="7182" width="6.7109375" style="57" customWidth="1"/>
    <col min="7183" max="7184" width="6.5703125" style="57" customWidth="1"/>
    <col min="7185" max="7185" width="6.85546875" style="57" customWidth="1"/>
    <col min="7186" max="7186" width="6.7109375" style="57" customWidth="1"/>
    <col min="7187" max="7187" width="4.7109375" style="57" customWidth="1"/>
    <col min="7188" max="7188" width="4.42578125" style="57" customWidth="1"/>
    <col min="7189" max="7189" width="5.28515625" style="57" customWidth="1"/>
    <col min="7190" max="7191" width="4.5703125" style="57" customWidth="1"/>
    <col min="7192" max="7192" width="5" style="57" customWidth="1"/>
    <col min="7193" max="7193" width="5.42578125" style="57" customWidth="1"/>
    <col min="7194" max="7194" width="4.7109375" style="57" customWidth="1"/>
    <col min="7195" max="7424" width="8.85546875" style="57"/>
    <col min="7425" max="7425" width="1.7109375" style="57" customWidth="1"/>
    <col min="7426" max="7426" width="10.5703125" style="57" customWidth="1"/>
    <col min="7427" max="7427" width="7.42578125" style="57" customWidth="1"/>
    <col min="7428" max="7428" width="7.5703125" style="57" customWidth="1"/>
    <col min="7429" max="7429" width="6.28515625" style="57" customWidth="1"/>
    <col min="7430" max="7430" width="6" style="57" customWidth="1"/>
    <col min="7431" max="7431" width="6.42578125" style="57" customWidth="1"/>
    <col min="7432" max="7434" width="7.42578125" style="57" customWidth="1"/>
    <col min="7435" max="7435" width="6.85546875" style="57" customWidth="1"/>
    <col min="7436" max="7436" width="7" style="57" customWidth="1"/>
    <col min="7437" max="7437" width="6.5703125" style="57" customWidth="1"/>
    <col min="7438" max="7438" width="6.7109375" style="57" customWidth="1"/>
    <col min="7439" max="7440" width="6.5703125" style="57" customWidth="1"/>
    <col min="7441" max="7441" width="6.85546875" style="57" customWidth="1"/>
    <col min="7442" max="7442" width="6.7109375" style="57" customWidth="1"/>
    <col min="7443" max="7443" width="4.7109375" style="57" customWidth="1"/>
    <col min="7444" max="7444" width="4.42578125" style="57" customWidth="1"/>
    <col min="7445" max="7445" width="5.28515625" style="57" customWidth="1"/>
    <col min="7446" max="7447" width="4.5703125" style="57" customWidth="1"/>
    <col min="7448" max="7448" width="5" style="57" customWidth="1"/>
    <col min="7449" max="7449" width="5.42578125" style="57" customWidth="1"/>
    <col min="7450" max="7450" width="4.7109375" style="57" customWidth="1"/>
    <col min="7451" max="7680" width="8.85546875" style="57"/>
    <col min="7681" max="7681" width="1.7109375" style="57" customWidth="1"/>
    <col min="7682" max="7682" width="10.5703125" style="57" customWidth="1"/>
    <col min="7683" max="7683" width="7.42578125" style="57" customWidth="1"/>
    <col min="7684" max="7684" width="7.5703125" style="57" customWidth="1"/>
    <col min="7685" max="7685" width="6.28515625" style="57" customWidth="1"/>
    <col min="7686" max="7686" width="6" style="57" customWidth="1"/>
    <col min="7687" max="7687" width="6.42578125" style="57" customWidth="1"/>
    <col min="7688" max="7690" width="7.42578125" style="57" customWidth="1"/>
    <col min="7691" max="7691" width="6.85546875" style="57" customWidth="1"/>
    <col min="7692" max="7692" width="7" style="57" customWidth="1"/>
    <col min="7693" max="7693" width="6.5703125" style="57" customWidth="1"/>
    <col min="7694" max="7694" width="6.7109375" style="57" customWidth="1"/>
    <col min="7695" max="7696" width="6.5703125" style="57" customWidth="1"/>
    <col min="7697" max="7697" width="6.85546875" style="57" customWidth="1"/>
    <col min="7698" max="7698" width="6.7109375" style="57" customWidth="1"/>
    <col min="7699" max="7699" width="4.7109375" style="57" customWidth="1"/>
    <col min="7700" max="7700" width="4.42578125" style="57" customWidth="1"/>
    <col min="7701" max="7701" width="5.28515625" style="57" customWidth="1"/>
    <col min="7702" max="7703" width="4.5703125" style="57" customWidth="1"/>
    <col min="7704" max="7704" width="5" style="57" customWidth="1"/>
    <col min="7705" max="7705" width="5.42578125" style="57" customWidth="1"/>
    <col min="7706" max="7706" width="4.7109375" style="57" customWidth="1"/>
    <col min="7707" max="7936" width="8.85546875" style="57"/>
    <col min="7937" max="7937" width="1.7109375" style="57" customWidth="1"/>
    <col min="7938" max="7938" width="10.5703125" style="57" customWidth="1"/>
    <col min="7939" max="7939" width="7.42578125" style="57" customWidth="1"/>
    <col min="7940" max="7940" width="7.5703125" style="57" customWidth="1"/>
    <col min="7941" max="7941" width="6.28515625" style="57" customWidth="1"/>
    <col min="7942" max="7942" width="6" style="57" customWidth="1"/>
    <col min="7943" max="7943" width="6.42578125" style="57" customWidth="1"/>
    <col min="7944" max="7946" width="7.42578125" style="57" customWidth="1"/>
    <col min="7947" max="7947" width="6.85546875" style="57" customWidth="1"/>
    <col min="7948" max="7948" width="7" style="57" customWidth="1"/>
    <col min="7949" max="7949" width="6.5703125" style="57" customWidth="1"/>
    <col min="7950" max="7950" width="6.7109375" style="57" customWidth="1"/>
    <col min="7951" max="7952" width="6.5703125" style="57" customWidth="1"/>
    <col min="7953" max="7953" width="6.85546875" style="57" customWidth="1"/>
    <col min="7954" max="7954" width="6.7109375" style="57" customWidth="1"/>
    <col min="7955" max="7955" width="4.7109375" style="57" customWidth="1"/>
    <col min="7956" max="7956" width="4.42578125" style="57" customWidth="1"/>
    <col min="7957" max="7957" width="5.28515625" style="57" customWidth="1"/>
    <col min="7958" max="7959" width="4.5703125" style="57" customWidth="1"/>
    <col min="7960" max="7960" width="5" style="57" customWidth="1"/>
    <col min="7961" max="7961" width="5.42578125" style="57" customWidth="1"/>
    <col min="7962" max="7962" width="4.7109375" style="57" customWidth="1"/>
    <col min="7963" max="8192" width="9.140625" style="57"/>
    <col min="8193" max="8193" width="1.7109375" style="57" customWidth="1"/>
    <col min="8194" max="8194" width="10.5703125" style="57" customWidth="1"/>
    <col min="8195" max="8195" width="7.42578125" style="57" customWidth="1"/>
    <col min="8196" max="8196" width="7.5703125" style="57" customWidth="1"/>
    <col min="8197" max="8197" width="6.28515625" style="57" customWidth="1"/>
    <col min="8198" max="8198" width="6" style="57" customWidth="1"/>
    <col min="8199" max="8199" width="6.42578125" style="57" customWidth="1"/>
    <col min="8200" max="8202" width="7.42578125" style="57" customWidth="1"/>
    <col min="8203" max="8203" width="6.85546875" style="57" customWidth="1"/>
    <col min="8204" max="8204" width="7" style="57" customWidth="1"/>
    <col min="8205" max="8205" width="6.5703125" style="57" customWidth="1"/>
    <col min="8206" max="8206" width="6.7109375" style="57" customWidth="1"/>
    <col min="8207" max="8208" width="6.5703125" style="57" customWidth="1"/>
    <col min="8209" max="8209" width="6.85546875" style="57" customWidth="1"/>
    <col min="8210" max="8210" width="6.7109375" style="57" customWidth="1"/>
    <col min="8211" max="8211" width="4.7109375" style="57" customWidth="1"/>
    <col min="8212" max="8212" width="4.42578125" style="57" customWidth="1"/>
    <col min="8213" max="8213" width="5.28515625" style="57" customWidth="1"/>
    <col min="8214" max="8215" width="4.5703125" style="57" customWidth="1"/>
    <col min="8216" max="8216" width="5" style="57" customWidth="1"/>
    <col min="8217" max="8217" width="5.42578125" style="57" customWidth="1"/>
    <col min="8218" max="8218" width="4.7109375" style="57" customWidth="1"/>
    <col min="8219" max="8448" width="8.85546875" style="57"/>
    <col min="8449" max="8449" width="1.7109375" style="57" customWidth="1"/>
    <col min="8450" max="8450" width="10.5703125" style="57" customWidth="1"/>
    <col min="8451" max="8451" width="7.42578125" style="57" customWidth="1"/>
    <col min="8452" max="8452" width="7.5703125" style="57" customWidth="1"/>
    <col min="8453" max="8453" width="6.28515625" style="57" customWidth="1"/>
    <col min="8454" max="8454" width="6" style="57" customWidth="1"/>
    <col min="8455" max="8455" width="6.42578125" style="57" customWidth="1"/>
    <col min="8456" max="8458" width="7.42578125" style="57" customWidth="1"/>
    <col min="8459" max="8459" width="6.85546875" style="57" customWidth="1"/>
    <col min="8460" max="8460" width="7" style="57" customWidth="1"/>
    <col min="8461" max="8461" width="6.5703125" style="57" customWidth="1"/>
    <col min="8462" max="8462" width="6.7109375" style="57" customWidth="1"/>
    <col min="8463" max="8464" width="6.5703125" style="57" customWidth="1"/>
    <col min="8465" max="8465" width="6.85546875" style="57" customWidth="1"/>
    <col min="8466" max="8466" width="6.7109375" style="57" customWidth="1"/>
    <col min="8467" max="8467" width="4.7109375" style="57" customWidth="1"/>
    <col min="8468" max="8468" width="4.42578125" style="57" customWidth="1"/>
    <col min="8469" max="8469" width="5.28515625" style="57" customWidth="1"/>
    <col min="8470" max="8471" width="4.5703125" style="57" customWidth="1"/>
    <col min="8472" max="8472" width="5" style="57" customWidth="1"/>
    <col min="8473" max="8473" width="5.42578125" style="57" customWidth="1"/>
    <col min="8474" max="8474" width="4.7109375" style="57" customWidth="1"/>
    <col min="8475" max="8704" width="8.85546875" style="57"/>
    <col min="8705" max="8705" width="1.7109375" style="57" customWidth="1"/>
    <col min="8706" max="8706" width="10.5703125" style="57" customWidth="1"/>
    <col min="8707" max="8707" width="7.42578125" style="57" customWidth="1"/>
    <col min="8708" max="8708" width="7.5703125" style="57" customWidth="1"/>
    <col min="8709" max="8709" width="6.28515625" style="57" customWidth="1"/>
    <col min="8710" max="8710" width="6" style="57" customWidth="1"/>
    <col min="8711" max="8711" width="6.42578125" style="57" customWidth="1"/>
    <col min="8712" max="8714" width="7.42578125" style="57" customWidth="1"/>
    <col min="8715" max="8715" width="6.85546875" style="57" customWidth="1"/>
    <col min="8716" max="8716" width="7" style="57" customWidth="1"/>
    <col min="8717" max="8717" width="6.5703125" style="57" customWidth="1"/>
    <col min="8718" max="8718" width="6.7109375" style="57" customWidth="1"/>
    <col min="8719" max="8720" width="6.5703125" style="57" customWidth="1"/>
    <col min="8721" max="8721" width="6.85546875" style="57" customWidth="1"/>
    <col min="8722" max="8722" width="6.7109375" style="57" customWidth="1"/>
    <col min="8723" max="8723" width="4.7109375" style="57" customWidth="1"/>
    <col min="8724" max="8724" width="4.42578125" style="57" customWidth="1"/>
    <col min="8725" max="8725" width="5.28515625" style="57" customWidth="1"/>
    <col min="8726" max="8727" width="4.5703125" style="57" customWidth="1"/>
    <col min="8728" max="8728" width="5" style="57" customWidth="1"/>
    <col min="8729" max="8729" width="5.42578125" style="57" customWidth="1"/>
    <col min="8730" max="8730" width="4.7109375" style="57" customWidth="1"/>
    <col min="8731" max="8960" width="8.85546875" style="57"/>
    <col min="8961" max="8961" width="1.7109375" style="57" customWidth="1"/>
    <col min="8962" max="8962" width="10.5703125" style="57" customWidth="1"/>
    <col min="8963" max="8963" width="7.42578125" style="57" customWidth="1"/>
    <col min="8964" max="8964" width="7.5703125" style="57" customWidth="1"/>
    <col min="8965" max="8965" width="6.28515625" style="57" customWidth="1"/>
    <col min="8966" max="8966" width="6" style="57" customWidth="1"/>
    <col min="8967" max="8967" width="6.42578125" style="57" customWidth="1"/>
    <col min="8968" max="8970" width="7.42578125" style="57" customWidth="1"/>
    <col min="8971" max="8971" width="6.85546875" style="57" customWidth="1"/>
    <col min="8972" max="8972" width="7" style="57" customWidth="1"/>
    <col min="8973" max="8973" width="6.5703125" style="57" customWidth="1"/>
    <col min="8974" max="8974" width="6.7109375" style="57" customWidth="1"/>
    <col min="8975" max="8976" width="6.5703125" style="57" customWidth="1"/>
    <col min="8977" max="8977" width="6.85546875" style="57" customWidth="1"/>
    <col min="8978" max="8978" width="6.7109375" style="57" customWidth="1"/>
    <col min="8979" max="8979" width="4.7109375" style="57" customWidth="1"/>
    <col min="8980" max="8980" width="4.42578125" style="57" customWidth="1"/>
    <col min="8981" max="8981" width="5.28515625" style="57" customWidth="1"/>
    <col min="8982" max="8983" width="4.5703125" style="57" customWidth="1"/>
    <col min="8984" max="8984" width="5" style="57" customWidth="1"/>
    <col min="8985" max="8985" width="5.42578125" style="57" customWidth="1"/>
    <col min="8986" max="8986" width="4.7109375" style="57" customWidth="1"/>
    <col min="8987" max="9216" width="9.140625" style="57"/>
    <col min="9217" max="9217" width="1.7109375" style="57" customWidth="1"/>
    <col min="9218" max="9218" width="10.5703125" style="57" customWidth="1"/>
    <col min="9219" max="9219" width="7.42578125" style="57" customWidth="1"/>
    <col min="9220" max="9220" width="7.5703125" style="57" customWidth="1"/>
    <col min="9221" max="9221" width="6.28515625" style="57" customWidth="1"/>
    <col min="9222" max="9222" width="6" style="57" customWidth="1"/>
    <col min="9223" max="9223" width="6.42578125" style="57" customWidth="1"/>
    <col min="9224" max="9226" width="7.42578125" style="57" customWidth="1"/>
    <col min="9227" max="9227" width="6.85546875" style="57" customWidth="1"/>
    <col min="9228" max="9228" width="7" style="57" customWidth="1"/>
    <col min="9229" max="9229" width="6.5703125" style="57" customWidth="1"/>
    <col min="9230" max="9230" width="6.7109375" style="57" customWidth="1"/>
    <col min="9231" max="9232" width="6.5703125" style="57" customWidth="1"/>
    <col min="9233" max="9233" width="6.85546875" style="57" customWidth="1"/>
    <col min="9234" max="9234" width="6.7109375" style="57" customWidth="1"/>
    <col min="9235" max="9235" width="4.7109375" style="57" customWidth="1"/>
    <col min="9236" max="9236" width="4.42578125" style="57" customWidth="1"/>
    <col min="9237" max="9237" width="5.28515625" style="57" customWidth="1"/>
    <col min="9238" max="9239" width="4.5703125" style="57" customWidth="1"/>
    <col min="9240" max="9240" width="5" style="57" customWidth="1"/>
    <col min="9241" max="9241" width="5.42578125" style="57" customWidth="1"/>
    <col min="9242" max="9242" width="4.7109375" style="57" customWidth="1"/>
    <col min="9243" max="9472" width="8.85546875" style="57"/>
    <col min="9473" max="9473" width="1.7109375" style="57" customWidth="1"/>
    <col min="9474" max="9474" width="10.5703125" style="57" customWidth="1"/>
    <col min="9475" max="9475" width="7.42578125" style="57" customWidth="1"/>
    <col min="9476" max="9476" width="7.5703125" style="57" customWidth="1"/>
    <col min="9477" max="9477" width="6.28515625" style="57" customWidth="1"/>
    <col min="9478" max="9478" width="6" style="57" customWidth="1"/>
    <col min="9479" max="9479" width="6.42578125" style="57" customWidth="1"/>
    <col min="9480" max="9482" width="7.42578125" style="57" customWidth="1"/>
    <col min="9483" max="9483" width="6.85546875" style="57" customWidth="1"/>
    <col min="9484" max="9484" width="7" style="57" customWidth="1"/>
    <col min="9485" max="9485" width="6.5703125" style="57" customWidth="1"/>
    <col min="9486" max="9486" width="6.7109375" style="57" customWidth="1"/>
    <col min="9487" max="9488" width="6.5703125" style="57" customWidth="1"/>
    <col min="9489" max="9489" width="6.85546875" style="57" customWidth="1"/>
    <col min="9490" max="9490" width="6.7109375" style="57" customWidth="1"/>
    <col min="9491" max="9491" width="4.7109375" style="57" customWidth="1"/>
    <col min="9492" max="9492" width="4.42578125" style="57" customWidth="1"/>
    <col min="9493" max="9493" width="5.28515625" style="57" customWidth="1"/>
    <col min="9494" max="9495" width="4.5703125" style="57" customWidth="1"/>
    <col min="9496" max="9496" width="5" style="57" customWidth="1"/>
    <col min="9497" max="9497" width="5.42578125" style="57" customWidth="1"/>
    <col min="9498" max="9498" width="4.7109375" style="57" customWidth="1"/>
    <col min="9499" max="9728" width="8.85546875" style="57"/>
    <col min="9729" max="9729" width="1.7109375" style="57" customWidth="1"/>
    <col min="9730" max="9730" width="10.5703125" style="57" customWidth="1"/>
    <col min="9731" max="9731" width="7.42578125" style="57" customWidth="1"/>
    <col min="9732" max="9732" width="7.5703125" style="57" customWidth="1"/>
    <col min="9733" max="9733" width="6.28515625" style="57" customWidth="1"/>
    <col min="9734" max="9734" width="6" style="57" customWidth="1"/>
    <col min="9735" max="9735" width="6.42578125" style="57" customWidth="1"/>
    <col min="9736" max="9738" width="7.42578125" style="57" customWidth="1"/>
    <col min="9739" max="9739" width="6.85546875" style="57" customWidth="1"/>
    <col min="9740" max="9740" width="7" style="57" customWidth="1"/>
    <col min="9741" max="9741" width="6.5703125" style="57" customWidth="1"/>
    <col min="9742" max="9742" width="6.7109375" style="57" customWidth="1"/>
    <col min="9743" max="9744" width="6.5703125" style="57" customWidth="1"/>
    <col min="9745" max="9745" width="6.85546875" style="57" customWidth="1"/>
    <col min="9746" max="9746" width="6.7109375" style="57" customWidth="1"/>
    <col min="9747" max="9747" width="4.7109375" style="57" customWidth="1"/>
    <col min="9748" max="9748" width="4.42578125" style="57" customWidth="1"/>
    <col min="9749" max="9749" width="5.28515625" style="57" customWidth="1"/>
    <col min="9750" max="9751" width="4.5703125" style="57" customWidth="1"/>
    <col min="9752" max="9752" width="5" style="57" customWidth="1"/>
    <col min="9753" max="9753" width="5.42578125" style="57" customWidth="1"/>
    <col min="9754" max="9754" width="4.7109375" style="57" customWidth="1"/>
    <col min="9755" max="9984" width="8.85546875" style="57"/>
    <col min="9985" max="9985" width="1.7109375" style="57" customWidth="1"/>
    <col min="9986" max="9986" width="10.5703125" style="57" customWidth="1"/>
    <col min="9987" max="9987" width="7.42578125" style="57" customWidth="1"/>
    <col min="9988" max="9988" width="7.5703125" style="57" customWidth="1"/>
    <col min="9989" max="9989" width="6.28515625" style="57" customWidth="1"/>
    <col min="9990" max="9990" width="6" style="57" customWidth="1"/>
    <col min="9991" max="9991" width="6.42578125" style="57" customWidth="1"/>
    <col min="9992" max="9994" width="7.42578125" style="57" customWidth="1"/>
    <col min="9995" max="9995" width="6.85546875" style="57" customWidth="1"/>
    <col min="9996" max="9996" width="7" style="57" customWidth="1"/>
    <col min="9997" max="9997" width="6.5703125" style="57" customWidth="1"/>
    <col min="9998" max="9998" width="6.7109375" style="57" customWidth="1"/>
    <col min="9999" max="10000" width="6.5703125" style="57" customWidth="1"/>
    <col min="10001" max="10001" width="6.85546875" style="57" customWidth="1"/>
    <col min="10002" max="10002" width="6.7109375" style="57" customWidth="1"/>
    <col min="10003" max="10003" width="4.7109375" style="57" customWidth="1"/>
    <col min="10004" max="10004" width="4.42578125" style="57" customWidth="1"/>
    <col min="10005" max="10005" width="5.28515625" style="57" customWidth="1"/>
    <col min="10006" max="10007" width="4.5703125" style="57" customWidth="1"/>
    <col min="10008" max="10008" width="5" style="57" customWidth="1"/>
    <col min="10009" max="10009" width="5.42578125" style="57" customWidth="1"/>
    <col min="10010" max="10010" width="4.7109375" style="57" customWidth="1"/>
    <col min="10011" max="10240" width="9.140625" style="57"/>
    <col min="10241" max="10241" width="1.7109375" style="57" customWidth="1"/>
    <col min="10242" max="10242" width="10.5703125" style="57" customWidth="1"/>
    <col min="10243" max="10243" width="7.42578125" style="57" customWidth="1"/>
    <col min="10244" max="10244" width="7.5703125" style="57" customWidth="1"/>
    <col min="10245" max="10245" width="6.28515625" style="57" customWidth="1"/>
    <col min="10246" max="10246" width="6" style="57" customWidth="1"/>
    <col min="10247" max="10247" width="6.42578125" style="57" customWidth="1"/>
    <col min="10248" max="10250" width="7.42578125" style="57" customWidth="1"/>
    <col min="10251" max="10251" width="6.85546875" style="57" customWidth="1"/>
    <col min="10252" max="10252" width="7" style="57" customWidth="1"/>
    <col min="10253" max="10253" width="6.5703125" style="57" customWidth="1"/>
    <col min="10254" max="10254" width="6.7109375" style="57" customWidth="1"/>
    <col min="10255" max="10256" width="6.5703125" style="57" customWidth="1"/>
    <col min="10257" max="10257" width="6.85546875" style="57" customWidth="1"/>
    <col min="10258" max="10258" width="6.7109375" style="57" customWidth="1"/>
    <col min="10259" max="10259" width="4.7109375" style="57" customWidth="1"/>
    <col min="10260" max="10260" width="4.42578125" style="57" customWidth="1"/>
    <col min="10261" max="10261" width="5.28515625" style="57" customWidth="1"/>
    <col min="10262" max="10263" width="4.5703125" style="57" customWidth="1"/>
    <col min="10264" max="10264" width="5" style="57" customWidth="1"/>
    <col min="10265" max="10265" width="5.42578125" style="57" customWidth="1"/>
    <col min="10266" max="10266" width="4.7109375" style="57" customWidth="1"/>
    <col min="10267" max="10496" width="8.85546875" style="57"/>
    <col min="10497" max="10497" width="1.7109375" style="57" customWidth="1"/>
    <col min="10498" max="10498" width="10.5703125" style="57" customWidth="1"/>
    <col min="10499" max="10499" width="7.42578125" style="57" customWidth="1"/>
    <col min="10500" max="10500" width="7.5703125" style="57" customWidth="1"/>
    <col min="10501" max="10501" width="6.28515625" style="57" customWidth="1"/>
    <col min="10502" max="10502" width="6" style="57" customWidth="1"/>
    <col min="10503" max="10503" width="6.42578125" style="57" customWidth="1"/>
    <col min="10504" max="10506" width="7.42578125" style="57" customWidth="1"/>
    <col min="10507" max="10507" width="6.85546875" style="57" customWidth="1"/>
    <col min="10508" max="10508" width="7" style="57" customWidth="1"/>
    <col min="10509" max="10509" width="6.5703125" style="57" customWidth="1"/>
    <col min="10510" max="10510" width="6.7109375" style="57" customWidth="1"/>
    <col min="10511" max="10512" width="6.5703125" style="57" customWidth="1"/>
    <col min="10513" max="10513" width="6.85546875" style="57" customWidth="1"/>
    <col min="10514" max="10514" width="6.7109375" style="57" customWidth="1"/>
    <col min="10515" max="10515" width="4.7109375" style="57" customWidth="1"/>
    <col min="10516" max="10516" width="4.42578125" style="57" customWidth="1"/>
    <col min="10517" max="10517" width="5.28515625" style="57" customWidth="1"/>
    <col min="10518" max="10519" width="4.5703125" style="57" customWidth="1"/>
    <col min="10520" max="10520" width="5" style="57" customWidth="1"/>
    <col min="10521" max="10521" width="5.42578125" style="57" customWidth="1"/>
    <col min="10522" max="10522" width="4.7109375" style="57" customWidth="1"/>
    <col min="10523" max="10752" width="8.85546875" style="57"/>
    <col min="10753" max="10753" width="1.7109375" style="57" customWidth="1"/>
    <col min="10754" max="10754" width="10.5703125" style="57" customWidth="1"/>
    <col min="10755" max="10755" width="7.42578125" style="57" customWidth="1"/>
    <col min="10756" max="10756" width="7.5703125" style="57" customWidth="1"/>
    <col min="10757" max="10757" width="6.28515625" style="57" customWidth="1"/>
    <col min="10758" max="10758" width="6" style="57" customWidth="1"/>
    <col min="10759" max="10759" width="6.42578125" style="57" customWidth="1"/>
    <col min="10760" max="10762" width="7.42578125" style="57" customWidth="1"/>
    <col min="10763" max="10763" width="6.85546875" style="57" customWidth="1"/>
    <col min="10764" max="10764" width="7" style="57" customWidth="1"/>
    <col min="10765" max="10765" width="6.5703125" style="57" customWidth="1"/>
    <col min="10766" max="10766" width="6.7109375" style="57" customWidth="1"/>
    <col min="10767" max="10768" width="6.5703125" style="57" customWidth="1"/>
    <col min="10769" max="10769" width="6.85546875" style="57" customWidth="1"/>
    <col min="10770" max="10770" width="6.7109375" style="57" customWidth="1"/>
    <col min="10771" max="10771" width="4.7109375" style="57" customWidth="1"/>
    <col min="10772" max="10772" width="4.42578125" style="57" customWidth="1"/>
    <col min="10773" max="10773" width="5.28515625" style="57" customWidth="1"/>
    <col min="10774" max="10775" width="4.5703125" style="57" customWidth="1"/>
    <col min="10776" max="10776" width="5" style="57" customWidth="1"/>
    <col min="10777" max="10777" width="5.42578125" style="57" customWidth="1"/>
    <col min="10778" max="10778" width="4.7109375" style="57" customWidth="1"/>
    <col min="10779" max="11008" width="8.85546875" style="57"/>
    <col min="11009" max="11009" width="1.7109375" style="57" customWidth="1"/>
    <col min="11010" max="11010" width="10.5703125" style="57" customWidth="1"/>
    <col min="11011" max="11011" width="7.42578125" style="57" customWidth="1"/>
    <col min="11012" max="11012" width="7.5703125" style="57" customWidth="1"/>
    <col min="11013" max="11013" width="6.28515625" style="57" customWidth="1"/>
    <col min="11014" max="11014" width="6" style="57" customWidth="1"/>
    <col min="11015" max="11015" width="6.42578125" style="57" customWidth="1"/>
    <col min="11016" max="11018" width="7.42578125" style="57" customWidth="1"/>
    <col min="11019" max="11019" width="6.85546875" style="57" customWidth="1"/>
    <col min="11020" max="11020" width="7" style="57" customWidth="1"/>
    <col min="11021" max="11021" width="6.5703125" style="57" customWidth="1"/>
    <col min="11022" max="11022" width="6.7109375" style="57" customWidth="1"/>
    <col min="11023" max="11024" width="6.5703125" style="57" customWidth="1"/>
    <col min="11025" max="11025" width="6.85546875" style="57" customWidth="1"/>
    <col min="11026" max="11026" width="6.7109375" style="57" customWidth="1"/>
    <col min="11027" max="11027" width="4.7109375" style="57" customWidth="1"/>
    <col min="11028" max="11028" width="4.42578125" style="57" customWidth="1"/>
    <col min="11029" max="11029" width="5.28515625" style="57" customWidth="1"/>
    <col min="11030" max="11031" width="4.5703125" style="57" customWidth="1"/>
    <col min="11032" max="11032" width="5" style="57" customWidth="1"/>
    <col min="11033" max="11033" width="5.42578125" style="57" customWidth="1"/>
    <col min="11034" max="11034" width="4.7109375" style="57" customWidth="1"/>
    <col min="11035" max="11264" width="9.140625" style="57"/>
    <col min="11265" max="11265" width="1.7109375" style="57" customWidth="1"/>
    <col min="11266" max="11266" width="10.5703125" style="57" customWidth="1"/>
    <col min="11267" max="11267" width="7.42578125" style="57" customWidth="1"/>
    <col min="11268" max="11268" width="7.5703125" style="57" customWidth="1"/>
    <col min="11269" max="11269" width="6.28515625" style="57" customWidth="1"/>
    <col min="11270" max="11270" width="6" style="57" customWidth="1"/>
    <col min="11271" max="11271" width="6.42578125" style="57" customWidth="1"/>
    <col min="11272" max="11274" width="7.42578125" style="57" customWidth="1"/>
    <col min="11275" max="11275" width="6.85546875" style="57" customWidth="1"/>
    <col min="11276" max="11276" width="7" style="57" customWidth="1"/>
    <col min="11277" max="11277" width="6.5703125" style="57" customWidth="1"/>
    <col min="11278" max="11278" width="6.7109375" style="57" customWidth="1"/>
    <col min="11279" max="11280" width="6.5703125" style="57" customWidth="1"/>
    <col min="11281" max="11281" width="6.85546875" style="57" customWidth="1"/>
    <col min="11282" max="11282" width="6.7109375" style="57" customWidth="1"/>
    <col min="11283" max="11283" width="4.7109375" style="57" customWidth="1"/>
    <col min="11284" max="11284" width="4.42578125" style="57" customWidth="1"/>
    <col min="11285" max="11285" width="5.28515625" style="57" customWidth="1"/>
    <col min="11286" max="11287" width="4.5703125" style="57" customWidth="1"/>
    <col min="11288" max="11288" width="5" style="57" customWidth="1"/>
    <col min="11289" max="11289" width="5.42578125" style="57" customWidth="1"/>
    <col min="11290" max="11290" width="4.7109375" style="57" customWidth="1"/>
    <col min="11291" max="11520" width="8.85546875" style="57"/>
    <col min="11521" max="11521" width="1.7109375" style="57" customWidth="1"/>
    <col min="11522" max="11522" width="10.5703125" style="57" customWidth="1"/>
    <col min="11523" max="11523" width="7.42578125" style="57" customWidth="1"/>
    <col min="11524" max="11524" width="7.5703125" style="57" customWidth="1"/>
    <col min="11525" max="11525" width="6.28515625" style="57" customWidth="1"/>
    <col min="11526" max="11526" width="6" style="57" customWidth="1"/>
    <col min="11527" max="11527" width="6.42578125" style="57" customWidth="1"/>
    <col min="11528" max="11530" width="7.42578125" style="57" customWidth="1"/>
    <col min="11531" max="11531" width="6.85546875" style="57" customWidth="1"/>
    <col min="11532" max="11532" width="7" style="57" customWidth="1"/>
    <col min="11533" max="11533" width="6.5703125" style="57" customWidth="1"/>
    <col min="11534" max="11534" width="6.7109375" style="57" customWidth="1"/>
    <col min="11535" max="11536" width="6.5703125" style="57" customWidth="1"/>
    <col min="11537" max="11537" width="6.85546875" style="57" customWidth="1"/>
    <col min="11538" max="11538" width="6.7109375" style="57" customWidth="1"/>
    <col min="11539" max="11539" width="4.7109375" style="57" customWidth="1"/>
    <col min="11540" max="11540" width="4.42578125" style="57" customWidth="1"/>
    <col min="11541" max="11541" width="5.28515625" style="57" customWidth="1"/>
    <col min="11542" max="11543" width="4.5703125" style="57" customWidth="1"/>
    <col min="11544" max="11544" width="5" style="57" customWidth="1"/>
    <col min="11545" max="11545" width="5.42578125" style="57" customWidth="1"/>
    <col min="11546" max="11546" width="4.7109375" style="57" customWidth="1"/>
    <col min="11547" max="11776" width="8.85546875" style="57"/>
    <col min="11777" max="11777" width="1.7109375" style="57" customWidth="1"/>
    <col min="11778" max="11778" width="10.5703125" style="57" customWidth="1"/>
    <col min="11779" max="11779" width="7.42578125" style="57" customWidth="1"/>
    <col min="11780" max="11780" width="7.5703125" style="57" customWidth="1"/>
    <col min="11781" max="11781" width="6.28515625" style="57" customWidth="1"/>
    <col min="11782" max="11782" width="6" style="57" customWidth="1"/>
    <col min="11783" max="11783" width="6.42578125" style="57" customWidth="1"/>
    <col min="11784" max="11786" width="7.42578125" style="57" customWidth="1"/>
    <col min="11787" max="11787" width="6.85546875" style="57" customWidth="1"/>
    <col min="11788" max="11788" width="7" style="57" customWidth="1"/>
    <col min="11789" max="11789" width="6.5703125" style="57" customWidth="1"/>
    <col min="11790" max="11790" width="6.7109375" style="57" customWidth="1"/>
    <col min="11791" max="11792" width="6.5703125" style="57" customWidth="1"/>
    <col min="11793" max="11793" width="6.85546875" style="57" customWidth="1"/>
    <col min="11794" max="11794" width="6.7109375" style="57" customWidth="1"/>
    <col min="11795" max="11795" width="4.7109375" style="57" customWidth="1"/>
    <col min="11796" max="11796" width="4.42578125" style="57" customWidth="1"/>
    <col min="11797" max="11797" width="5.28515625" style="57" customWidth="1"/>
    <col min="11798" max="11799" width="4.5703125" style="57" customWidth="1"/>
    <col min="11800" max="11800" width="5" style="57" customWidth="1"/>
    <col min="11801" max="11801" width="5.42578125" style="57" customWidth="1"/>
    <col min="11802" max="11802" width="4.7109375" style="57" customWidth="1"/>
    <col min="11803" max="12032" width="8.85546875" style="57"/>
    <col min="12033" max="12033" width="1.7109375" style="57" customWidth="1"/>
    <col min="12034" max="12034" width="10.5703125" style="57" customWidth="1"/>
    <col min="12035" max="12035" width="7.42578125" style="57" customWidth="1"/>
    <col min="12036" max="12036" width="7.5703125" style="57" customWidth="1"/>
    <col min="12037" max="12037" width="6.28515625" style="57" customWidth="1"/>
    <col min="12038" max="12038" width="6" style="57" customWidth="1"/>
    <col min="12039" max="12039" width="6.42578125" style="57" customWidth="1"/>
    <col min="12040" max="12042" width="7.42578125" style="57" customWidth="1"/>
    <col min="12043" max="12043" width="6.85546875" style="57" customWidth="1"/>
    <col min="12044" max="12044" width="7" style="57" customWidth="1"/>
    <col min="12045" max="12045" width="6.5703125" style="57" customWidth="1"/>
    <col min="12046" max="12046" width="6.7109375" style="57" customWidth="1"/>
    <col min="12047" max="12048" width="6.5703125" style="57" customWidth="1"/>
    <col min="12049" max="12049" width="6.85546875" style="57" customWidth="1"/>
    <col min="12050" max="12050" width="6.7109375" style="57" customWidth="1"/>
    <col min="12051" max="12051" width="4.7109375" style="57" customWidth="1"/>
    <col min="12052" max="12052" width="4.42578125" style="57" customWidth="1"/>
    <col min="12053" max="12053" width="5.28515625" style="57" customWidth="1"/>
    <col min="12054" max="12055" width="4.5703125" style="57" customWidth="1"/>
    <col min="12056" max="12056" width="5" style="57" customWidth="1"/>
    <col min="12057" max="12057" width="5.42578125" style="57" customWidth="1"/>
    <col min="12058" max="12058" width="4.7109375" style="57" customWidth="1"/>
    <col min="12059" max="12288" width="9.140625" style="57"/>
    <col min="12289" max="12289" width="1.7109375" style="57" customWidth="1"/>
    <col min="12290" max="12290" width="10.5703125" style="57" customWidth="1"/>
    <col min="12291" max="12291" width="7.42578125" style="57" customWidth="1"/>
    <col min="12292" max="12292" width="7.5703125" style="57" customWidth="1"/>
    <col min="12293" max="12293" width="6.28515625" style="57" customWidth="1"/>
    <col min="12294" max="12294" width="6" style="57" customWidth="1"/>
    <col min="12295" max="12295" width="6.42578125" style="57" customWidth="1"/>
    <col min="12296" max="12298" width="7.42578125" style="57" customWidth="1"/>
    <col min="12299" max="12299" width="6.85546875" style="57" customWidth="1"/>
    <col min="12300" max="12300" width="7" style="57" customWidth="1"/>
    <col min="12301" max="12301" width="6.5703125" style="57" customWidth="1"/>
    <col min="12302" max="12302" width="6.7109375" style="57" customWidth="1"/>
    <col min="12303" max="12304" width="6.5703125" style="57" customWidth="1"/>
    <col min="12305" max="12305" width="6.85546875" style="57" customWidth="1"/>
    <col min="12306" max="12306" width="6.7109375" style="57" customWidth="1"/>
    <col min="12307" max="12307" width="4.7109375" style="57" customWidth="1"/>
    <col min="12308" max="12308" width="4.42578125" style="57" customWidth="1"/>
    <col min="12309" max="12309" width="5.28515625" style="57" customWidth="1"/>
    <col min="12310" max="12311" width="4.5703125" style="57" customWidth="1"/>
    <col min="12312" max="12312" width="5" style="57" customWidth="1"/>
    <col min="12313" max="12313" width="5.42578125" style="57" customWidth="1"/>
    <col min="12314" max="12314" width="4.7109375" style="57" customWidth="1"/>
    <col min="12315" max="12544" width="8.85546875" style="57"/>
    <col min="12545" max="12545" width="1.7109375" style="57" customWidth="1"/>
    <col min="12546" max="12546" width="10.5703125" style="57" customWidth="1"/>
    <col min="12547" max="12547" width="7.42578125" style="57" customWidth="1"/>
    <col min="12548" max="12548" width="7.5703125" style="57" customWidth="1"/>
    <col min="12549" max="12549" width="6.28515625" style="57" customWidth="1"/>
    <col min="12550" max="12550" width="6" style="57" customWidth="1"/>
    <col min="12551" max="12551" width="6.42578125" style="57" customWidth="1"/>
    <col min="12552" max="12554" width="7.42578125" style="57" customWidth="1"/>
    <col min="12555" max="12555" width="6.85546875" style="57" customWidth="1"/>
    <col min="12556" max="12556" width="7" style="57" customWidth="1"/>
    <col min="12557" max="12557" width="6.5703125" style="57" customWidth="1"/>
    <col min="12558" max="12558" width="6.7109375" style="57" customWidth="1"/>
    <col min="12559" max="12560" width="6.5703125" style="57" customWidth="1"/>
    <col min="12561" max="12561" width="6.85546875" style="57" customWidth="1"/>
    <col min="12562" max="12562" width="6.7109375" style="57" customWidth="1"/>
    <col min="12563" max="12563" width="4.7109375" style="57" customWidth="1"/>
    <col min="12564" max="12564" width="4.42578125" style="57" customWidth="1"/>
    <col min="12565" max="12565" width="5.28515625" style="57" customWidth="1"/>
    <col min="12566" max="12567" width="4.5703125" style="57" customWidth="1"/>
    <col min="12568" max="12568" width="5" style="57" customWidth="1"/>
    <col min="12569" max="12569" width="5.42578125" style="57" customWidth="1"/>
    <col min="12570" max="12570" width="4.7109375" style="57" customWidth="1"/>
    <col min="12571" max="12800" width="8.85546875" style="57"/>
    <col min="12801" max="12801" width="1.7109375" style="57" customWidth="1"/>
    <col min="12802" max="12802" width="10.5703125" style="57" customWidth="1"/>
    <col min="12803" max="12803" width="7.42578125" style="57" customWidth="1"/>
    <col min="12804" max="12804" width="7.5703125" style="57" customWidth="1"/>
    <col min="12805" max="12805" width="6.28515625" style="57" customWidth="1"/>
    <col min="12806" max="12806" width="6" style="57" customWidth="1"/>
    <col min="12807" max="12807" width="6.42578125" style="57" customWidth="1"/>
    <col min="12808" max="12810" width="7.42578125" style="57" customWidth="1"/>
    <col min="12811" max="12811" width="6.85546875" style="57" customWidth="1"/>
    <col min="12812" max="12812" width="7" style="57" customWidth="1"/>
    <col min="12813" max="12813" width="6.5703125" style="57" customWidth="1"/>
    <col min="12814" max="12814" width="6.7109375" style="57" customWidth="1"/>
    <col min="12815" max="12816" width="6.5703125" style="57" customWidth="1"/>
    <col min="12817" max="12817" width="6.85546875" style="57" customWidth="1"/>
    <col min="12818" max="12818" width="6.7109375" style="57" customWidth="1"/>
    <col min="12819" max="12819" width="4.7109375" style="57" customWidth="1"/>
    <col min="12820" max="12820" width="4.42578125" style="57" customWidth="1"/>
    <col min="12821" max="12821" width="5.28515625" style="57" customWidth="1"/>
    <col min="12822" max="12823" width="4.5703125" style="57" customWidth="1"/>
    <col min="12824" max="12824" width="5" style="57" customWidth="1"/>
    <col min="12825" max="12825" width="5.42578125" style="57" customWidth="1"/>
    <col min="12826" max="12826" width="4.7109375" style="57" customWidth="1"/>
    <col min="12827" max="13056" width="8.85546875" style="57"/>
    <col min="13057" max="13057" width="1.7109375" style="57" customWidth="1"/>
    <col min="13058" max="13058" width="10.5703125" style="57" customWidth="1"/>
    <col min="13059" max="13059" width="7.42578125" style="57" customWidth="1"/>
    <col min="13060" max="13060" width="7.5703125" style="57" customWidth="1"/>
    <col min="13061" max="13061" width="6.28515625" style="57" customWidth="1"/>
    <col min="13062" max="13062" width="6" style="57" customWidth="1"/>
    <col min="13063" max="13063" width="6.42578125" style="57" customWidth="1"/>
    <col min="13064" max="13066" width="7.42578125" style="57" customWidth="1"/>
    <col min="13067" max="13067" width="6.85546875" style="57" customWidth="1"/>
    <col min="13068" max="13068" width="7" style="57" customWidth="1"/>
    <col min="13069" max="13069" width="6.5703125" style="57" customWidth="1"/>
    <col min="13070" max="13070" width="6.7109375" style="57" customWidth="1"/>
    <col min="13071" max="13072" width="6.5703125" style="57" customWidth="1"/>
    <col min="13073" max="13073" width="6.85546875" style="57" customWidth="1"/>
    <col min="13074" max="13074" width="6.7109375" style="57" customWidth="1"/>
    <col min="13075" max="13075" width="4.7109375" style="57" customWidth="1"/>
    <col min="13076" max="13076" width="4.42578125" style="57" customWidth="1"/>
    <col min="13077" max="13077" width="5.28515625" style="57" customWidth="1"/>
    <col min="13078" max="13079" width="4.5703125" style="57" customWidth="1"/>
    <col min="13080" max="13080" width="5" style="57" customWidth="1"/>
    <col min="13081" max="13081" width="5.42578125" style="57" customWidth="1"/>
    <col min="13082" max="13082" width="4.7109375" style="57" customWidth="1"/>
    <col min="13083" max="13312" width="9.140625" style="57"/>
    <col min="13313" max="13313" width="1.7109375" style="57" customWidth="1"/>
    <col min="13314" max="13314" width="10.5703125" style="57" customWidth="1"/>
    <col min="13315" max="13315" width="7.42578125" style="57" customWidth="1"/>
    <col min="13316" max="13316" width="7.5703125" style="57" customWidth="1"/>
    <col min="13317" max="13317" width="6.28515625" style="57" customWidth="1"/>
    <col min="13318" max="13318" width="6" style="57" customWidth="1"/>
    <col min="13319" max="13319" width="6.42578125" style="57" customWidth="1"/>
    <col min="13320" max="13322" width="7.42578125" style="57" customWidth="1"/>
    <col min="13323" max="13323" width="6.85546875" style="57" customWidth="1"/>
    <col min="13324" max="13324" width="7" style="57" customWidth="1"/>
    <col min="13325" max="13325" width="6.5703125" style="57" customWidth="1"/>
    <col min="13326" max="13326" width="6.7109375" style="57" customWidth="1"/>
    <col min="13327" max="13328" width="6.5703125" style="57" customWidth="1"/>
    <col min="13329" max="13329" width="6.85546875" style="57" customWidth="1"/>
    <col min="13330" max="13330" width="6.7109375" style="57" customWidth="1"/>
    <col min="13331" max="13331" width="4.7109375" style="57" customWidth="1"/>
    <col min="13332" max="13332" width="4.42578125" style="57" customWidth="1"/>
    <col min="13333" max="13333" width="5.28515625" style="57" customWidth="1"/>
    <col min="13334" max="13335" width="4.5703125" style="57" customWidth="1"/>
    <col min="13336" max="13336" width="5" style="57" customWidth="1"/>
    <col min="13337" max="13337" width="5.42578125" style="57" customWidth="1"/>
    <col min="13338" max="13338" width="4.7109375" style="57" customWidth="1"/>
    <col min="13339" max="13568" width="8.85546875" style="57"/>
    <col min="13569" max="13569" width="1.7109375" style="57" customWidth="1"/>
    <col min="13570" max="13570" width="10.5703125" style="57" customWidth="1"/>
    <col min="13571" max="13571" width="7.42578125" style="57" customWidth="1"/>
    <col min="13572" max="13572" width="7.5703125" style="57" customWidth="1"/>
    <col min="13573" max="13573" width="6.28515625" style="57" customWidth="1"/>
    <col min="13574" max="13574" width="6" style="57" customWidth="1"/>
    <col min="13575" max="13575" width="6.42578125" style="57" customWidth="1"/>
    <col min="13576" max="13578" width="7.42578125" style="57" customWidth="1"/>
    <col min="13579" max="13579" width="6.85546875" style="57" customWidth="1"/>
    <col min="13580" max="13580" width="7" style="57" customWidth="1"/>
    <col min="13581" max="13581" width="6.5703125" style="57" customWidth="1"/>
    <col min="13582" max="13582" width="6.7109375" style="57" customWidth="1"/>
    <col min="13583" max="13584" width="6.5703125" style="57" customWidth="1"/>
    <col min="13585" max="13585" width="6.85546875" style="57" customWidth="1"/>
    <col min="13586" max="13586" width="6.7109375" style="57" customWidth="1"/>
    <col min="13587" max="13587" width="4.7109375" style="57" customWidth="1"/>
    <col min="13588" max="13588" width="4.42578125" style="57" customWidth="1"/>
    <col min="13589" max="13589" width="5.28515625" style="57" customWidth="1"/>
    <col min="13590" max="13591" width="4.5703125" style="57" customWidth="1"/>
    <col min="13592" max="13592" width="5" style="57" customWidth="1"/>
    <col min="13593" max="13593" width="5.42578125" style="57" customWidth="1"/>
    <col min="13594" max="13594" width="4.7109375" style="57" customWidth="1"/>
    <col min="13595" max="13824" width="8.85546875" style="57"/>
    <col min="13825" max="13825" width="1.7109375" style="57" customWidth="1"/>
    <col min="13826" max="13826" width="10.5703125" style="57" customWidth="1"/>
    <col min="13827" max="13827" width="7.42578125" style="57" customWidth="1"/>
    <col min="13828" max="13828" width="7.5703125" style="57" customWidth="1"/>
    <col min="13829" max="13829" width="6.28515625" style="57" customWidth="1"/>
    <col min="13830" max="13830" width="6" style="57" customWidth="1"/>
    <col min="13831" max="13831" width="6.42578125" style="57" customWidth="1"/>
    <col min="13832" max="13834" width="7.42578125" style="57" customWidth="1"/>
    <col min="13835" max="13835" width="6.85546875" style="57" customWidth="1"/>
    <col min="13836" max="13836" width="7" style="57" customWidth="1"/>
    <col min="13837" max="13837" width="6.5703125" style="57" customWidth="1"/>
    <col min="13838" max="13838" width="6.7109375" style="57" customWidth="1"/>
    <col min="13839" max="13840" width="6.5703125" style="57" customWidth="1"/>
    <col min="13841" max="13841" width="6.85546875" style="57" customWidth="1"/>
    <col min="13842" max="13842" width="6.7109375" style="57" customWidth="1"/>
    <col min="13843" max="13843" width="4.7109375" style="57" customWidth="1"/>
    <col min="13844" max="13844" width="4.42578125" style="57" customWidth="1"/>
    <col min="13845" max="13845" width="5.28515625" style="57" customWidth="1"/>
    <col min="13846" max="13847" width="4.5703125" style="57" customWidth="1"/>
    <col min="13848" max="13848" width="5" style="57" customWidth="1"/>
    <col min="13849" max="13849" width="5.42578125" style="57" customWidth="1"/>
    <col min="13850" max="13850" width="4.7109375" style="57" customWidth="1"/>
    <col min="13851" max="14080" width="8.85546875" style="57"/>
    <col min="14081" max="14081" width="1.7109375" style="57" customWidth="1"/>
    <col min="14082" max="14082" width="10.5703125" style="57" customWidth="1"/>
    <col min="14083" max="14083" width="7.42578125" style="57" customWidth="1"/>
    <col min="14084" max="14084" width="7.5703125" style="57" customWidth="1"/>
    <col min="14085" max="14085" width="6.28515625" style="57" customWidth="1"/>
    <col min="14086" max="14086" width="6" style="57" customWidth="1"/>
    <col min="14087" max="14087" width="6.42578125" style="57" customWidth="1"/>
    <col min="14088" max="14090" width="7.42578125" style="57" customWidth="1"/>
    <col min="14091" max="14091" width="6.85546875" style="57" customWidth="1"/>
    <col min="14092" max="14092" width="7" style="57" customWidth="1"/>
    <col min="14093" max="14093" width="6.5703125" style="57" customWidth="1"/>
    <col min="14094" max="14094" width="6.7109375" style="57" customWidth="1"/>
    <col min="14095" max="14096" width="6.5703125" style="57" customWidth="1"/>
    <col min="14097" max="14097" width="6.85546875" style="57" customWidth="1"/>
    <col min="14098" max="14098" width="6.7109375" style="57" customWidth="1"/>
    <col min="14099" max="14099" width="4.7109375" style="57" customWidth="1"/>
    <col min="14100" max="14100" width="4.42578125" style="57" customWidth="1"/>
    <col min="14101" max="14101" width="5.28515625" style="57" customWidth="1"/>
    <col min="14102" max="14103" width="4.5703125" style="57" customWidth="1"/>
    <col min="14104" max="14104" width="5" style="57" customWidth="1"/>
    <col min="14105" max="14105" width="5.42578125" style="57" customWidth="1"/>
    <col min="14106" max="14106" width="4.7109375" style="57" customWidth="1"/>
    <col min="14107" max="14336" width="9.140625" style="57"/>
    <col min="14337" max="14337" width="1.7109375" style="57" customWidth="1"/>
    <col min="14338" max="14338" width="10.5703125" style="57" customWidth="1"/>
    <col min="14339" max="14339" width="7.42578125" style="57" customWidth="1"/>
    <col min="14340" max="14340" width="7.5703125" style="57" customWidth="1"/>
    <col min="14341" max="14341" width="6.28515625" style="57" customWidth="1"/>
    <col min="14342" max="14342" width="6" style="57" customWidth="1"/>
    <col min="14343" max="14343" width="6.42578125" style="57" customWidth="1"/>
    <col min="14344" max="14346" width="7.42578125" style="57" customWidth="1"/>
    <col min="14347" max="14347" width="6.85546875" style="57" customWidth="1"/>
    <col min="14348" max="14348" width="7" style="57" customWidth="1"/>
    <col min="14349" max="14349" width="6.5703125" style="57" customWidth="1"/>
    <col min="14350" max="14350" width="6.7109375" style="57" customWidth="1"/>
    <col min="14351" max="14352" width="6.5703125" style="57" customWidth="1"/>
    <col min="14353" max="14353" width="6.85546875" style="57" customWidth="1"/>
    <col min="14354" max="14354" width="6.7109375" style="57" customWidth="1"/>
    <col min="14355" max="14355" width="4.7109375" style="57" customWidth="1"/>
    <col min="14356" max="14356" width="4.42578125" style="57" customWidth="1"/>
    <col min="14357" max="14357" width="5.28515625" style="57" customWidth="1"/>
    <col min="14358" max="14359" width="4.5703125" style="57" customWidth="1"/>
    <col min="14360" max="14360" width="5" style="57" customWidth="1"/>
    <col min="14361" max="14361" width="5.42578125" style="57" customWidth="1"/>
    <col min="14362" max="14362" width="4.7109375" style="57" customWidth="1"/>
    <col min="14363" max="14592" width="8.85546875" style="57"/>
    <col min="14593" max="14593" width="1.7109375" style="57" customWidth="1"/>
    <col min="14594" max="14594" width="10.5703125" style="57" customWidth="1"/>
    <col min="14595" max="14595" width="7.42578125" style="57" customWidth="1"/>
    <col min="14596" max="14596" width="7.5703125" style="57" customWidth="1"/>
    <col min="14597" max="14597" width="6.28515625" style="57" customWidth="1"/>
    <col min="14598" max="14598" width="6" style="57" customWidth="1"/>
    <col min="14599" max="14599" width="6.42578125" style="57" customWidth="1"/>
    <col min="14600" max="14602" width="7.42578125" style="57" customWidth="1"/>
    <col min="14603" max="14603" width="6.85546875" style="57" customWidth="1"/>
    <col min="14604" max="14604" width="7" style="57" customWidth="1"/>
    <col min="14605" max="14605" width="6.5703125" style="57" customWidth="1"/>
    <col min="14606" max="14606" width="6.7109375" style="57" customWidth="1"/>
    <col min="14607" max="14608" width="6.5703125" style="57" customWidth="1"/>
    <col min="14609" max="14609" width="6.85546875" style="57" customWidth="1"/>
    <col min="14610" max="14610" width="6.7109375" style="57" customWidth="1"/>
    <col min="14611" max="14611" width="4.7109375" style="57" customWidth="1"/>
    <col min="14612" max="14612" width="4.42578125" style="57" customWidth="1"/>
    <col min="14613" max="14613" width="5.28515625" style="57" customWidth="1"/>
    <col min="14614" max="14615" width="4.5703125" style="57" customWidth="1"/>
    <col min="14616" max="14616" width="5" style="57" customWidth="1"/>
    <col min="14617" max="14617" width="5.42578125" style="57" customWidth="1"/>
    <col min="14618" max="14618" width="4.7109375" style="57" customWidth="1"/>
    <col min="14619" max="14848" width="8.85546875" style="57"/>
    <col min="14849" max="14849" width="1.7109375" style="57" customWidth="1"/>
    <col min="14850" max="14850" width="10.5703125" style="57" customWidth="1"/>
    <col min="14851" max="14851" width="7.42578125" style="57" customWidth="1"/>
    <col min="14852" max="14852" width="7.5703125" style="57" customWidth="1"/>
    <col min="14853" max="14853" width="6.28515625" style="57" customWidth="1"/>
    <col min="14854" max="14854" width="6" style="57" customWidth="1"/>
    <col min="14855" max="14855" width="6.42578125" style="57" customWidth="1"/>
    <col min="14856" max="14858" width="7.42578125" style="57" customWidth="1"/>
    <col min="14859" max="14859" width="6.85546875" style="57" customWidth="1"/>
    <col min="14860" max="14860" width="7" style="57" customWidth="1"/>
    <col min="14861" max="14861" width="6.5703125" style="57" customWidth="1"/>
    <col min="14862" max="14862" width="6.7109375" style="57" customWidth="1"/>
    <col min="14863" max="14864" width="6.5703125" style="57" customWidth="1"/>
    <col min="14865" max="14865" width="6.85546875" style="57" customWidth="1"/>
    <col min="14866" max="14866" width="6.7109375" style="57" customWidth="1"/>
    <col min="14867" max="14867" width="4.7109375" style="57" customWidth="1"/>
    <col min="14868" max="14868" width="4.42578125" style="57" customWidth="1"/>
    <col min="14869" max="14869" width="5.28515625" style="57" customWidth="1"/>
    <col min="14870" max="14871" width="4.5703125" style="57" customWidth="1"/>
    <col min="14872" max="14872" width="5" style="57" customWidth="1"/>
    <col min="14873" max="14873" width="5.42578125" style="57" customWidth="1"/>
    <col min="14874" max="14874" width="4.7109375" style="57" customWidth="1"/>
    <col min="14875" max="15104" width="8.85546875" style="57"/>
    <col min="15105" max="15105" width="1.7109375" style="57" customWidth="1"/>
    <col min="15106" max="15106" width="10.5703125" style="57" customWidth="1"/>
    <col min="15107" max="15107" width="7.42578125" style="57" customWidth="1"/>
    <col min="15108" max="15108" width="7.5703125" style="57" customWidth="1"/>
    <col min="15109" max="15109" width="6.28515625" style="57" customWidth="1"/>
    <col min="15110" max="15110" width="6" style="57" customWidth="1"/>
    <col min="15111" max="15111" width="6.42578125" style="57" customWidth="1"/>
    <col min="15112" max="15114" width="7.42578125" style="57" customWidth="1"/>
    <col min="15115" max="15115" width="6.85546875" style="57" customWidth="1"/>
    <col min="15116" max="15116" width="7" style="57" customWidth="1"/>
    <col min="15117" max="15117" width="6.5703125" style="57" customWidth="1"/>
    <col min="15118" max="15118" width="6.7109375" style="57" customWidth="1"/>
    <col min="15119" max="15120" width="6.5703125" style="57" customWidth="1"/>
    <col min="15121" max="15121" width="6.85546875" style="57" customWidth="1"/>
    <col min="15122" max="15122" width="6.7109375" style="57" customWidth="1"/>
    <col min="15123" max="15123" width="4.7109375" style="57" customWidth="1"/>
    <col min="15124" max="15124" width="4.42578125" style="57" customWidth="1"/>
    <col min="15125" max="15125" width="5.28515625" style="57" customWidth="1"/>
    <col min="15126" max="15127" width="4.5703125" style="57" customWidth="1"/>
    <col min="15128" max="15128" width="5" style="57" customWidth="1"/>
    <col min="15129" max="15129" width="5.42578125" style="57" customWidth="1"/>
    <col min="15130" max="15130" width="4.7109375" style="57" customWidth="1"/>
    <col min="15131" max="15360" width="9.140625" style="57"/>
    <col min="15361" max="15361" width="1.7109375" style="57" customWidth="1"/>
    <col min="15362" max="15362" width="10.5703125" style="57" customWidth="1"/>
    <col min="15363" max="15363" width="7.42578125" style="57" customWidth="1"/>
    <col min="15364" max="15364" width="7.5703125" style="57" customWidth="1"/>
    <col min="15365" max="15365" width="6.28515625" style="57" customWidth="1"/>
    <col min="15366" max="15366" width="6" style="57" customWidth="1"/>
    <col min="15367" max="15367" width="6.42578125" style="57" customWidth="1"/>
    <col min="15368" max="15370" width="7.42578125" style="57" customWidth="1"/>
    <col min="15371" max="15371" width="6.85546875" style="57" customWidth="1"/>
    <col min="15372" max="15372" width="7" style="57" customWidth="1"/>
    <col min="15373" max="15373" width="6.5703125" style="57" customWidth="1"/>
    <col min="15374" max="15374" width="6.7109375" style="57" customWidth="1"/>
    <col min="15375" max="15376" width="6.5703125" style="57" customWidth="1"/>
    <col min="15377" max="15377" width="6.85546875" style="57" customWidth="1"/>
    <col min="15378" max="15378" width="6.7109375" style="57" customWidth="1"/>
    <col min="15379" max="15379" width="4.7109375" style="57" customWidth="1"/>
    <col min="15380" max="15380" width="4.42578125" style="57" customWidth="1"/>
    <col min="15381" max="15381" width="5.28515625" style="57" customWidth="1"/>
    <col min="15382" max="15383" width="4.5703125" style="57" customWidth="1"/>
    <col min="15384" max="15384" width="5" style="57" customWidth="1"/>
    <col min="15385" max="15385" width="5.42578125" style="57" customWidth="1"/>
    <col min="15386" max="15386" width="4.7109375" style="57" customWidth="1"/>
    <col min="15387" max="15616" width="8.85546875" style="57"/>
    <col min="15617" max="15617" width="1.7109375" style="57" customWidth="1"/>
    <col min="15618" max="15618" width="10.5703125" style="57" customWidth="1"/>
    <col min="15619" max="15619" width="7.42578125" style="57" customWidth="1"/>
    <col min="15620" max="15620" width="7.5703125" style="57" customWidth="1"/>
    <col min="15621" max="15621" width="6.28515625" style="57" customWidth="1"/>
    <col min="15622" max="15622" width="6" style="57" customWidth="1"/>
    <col min="15623" max="15623" width="6.42578125" style="57" customWidth="1"/>
    <col min="15624" max="15626" width="7.42578125" style="57" customWidth="1"/>
    <col min="15627" max="15627" width="6.85546875" style="57" customWidth="1"/>
    <col min="15628" max="15628" width="7" style="57" customWidth="1"/>
    <col min="15629" max="15629" width="6.5703125" style="57" customWidth="1"/>
    <col min="15630" max="15630" width="6.7109375" style="57" customWidth="1"/>
    <col min="15631" max="15632" width="6.5703125" style="57" customWidth="1"/>
    <col min="15633" max="15633" width="6.85546875" style="57" customWidth="1"/>
    <col min="15634" max="15634" width="6.7109375" style="57" customWidth="1"/>
    <col min="15635" max="15635" width="4.7109375" style="57" customWidth="1"/>
    <col min="15636" max="15636" width="4.42578125" style="57" customWidth="1"/>
    <col min="15637" max="15637" width="5.28515625" style="57" customWidth="1"/>
    <col min="15638" max="15639" width="4.5703125" style="57" customWidth="1"/>
    <col min="15640" max="15640" width="5" style="57" customWidth="1"/>
    <col min="15641" max="15641" width="5.42578125" style="57" customWidth="1"/>
    <col min="15642" max="15642" width="4.7109375" style="57" customWidth="1"/>
    <col min="15643" max="15872" width="8.85546875" style="57"/>
    <col min="15873" max="15873" width="1.7109375" style="57" customWidth="1"/>
    <col min="15874" max="15874" width="10.5703125" style="57" customWidth="1"/>
    <col min="15875" max="15875" width="7.42578125" style="57" customWidth="1"/>
    <col min="15876" max="15876" width="7.5703125" style="57" customWidth="1"/>
    <col min="15877" max="15877" width="6.28515625" style="57" customWidth="1"/>
    <col min="15878" max="15878" width="6" style="57" customWidth="1"/>
    <col min="15879" max="15879" width="6.42578125" style="57" customWidth="1"/>
    <col min="15880" max="15882" width="7.42578125" style="57" customWidth="1"/>
    <col min="15883" max="15883" width="6.85546875" style="57" customWidth="1"/>
    <col min="15884" max="15884" width="7" style="57" customWidth="1"/>
    <col min="15885" max="15885" width="6.5703125" style="57" customWidth="1"/>
    <col min="15886" max="15886" width="6.7109375" style="57" customWidth="1"/>
    <col min="15887" max="15888" width="6.5703125" style="57" customWidth="1"/>
    <col min="15889" max="15889" width="6.85546875" style="57" customWidth="1"/>
    <col min="15890" max="15890" width="6.7109375" style="57" customWidth="1"/>
    <col min="15891" max="15891" width="4.7109375" style="57" customWidth="1"/>
    <col min="15892" max="15892" width="4.42578125" style="57" customWidth="1"/>
    <col min="15893" max="15893" width="5.28515625" style="57" customWidth="1"/>
    <col min="15894" max="15895" width="4.5703125" style="57" customWidth="1"/>
    <col min="15896" max="15896" width="5" style="57" customWidth="1"/>
    <col min="15897" max="15897" width="5.42578125" style="57" customWidth="1"/>
    <col min="15898" max="15898" width="4.7109375" style="57" customWidth="1"/>
    <col min="15899" max="16128" width="8.85546875" style="57"/>
    <col min="16129" max="16129" width="1.7109375" style="57" customWidth="1"/>
    <col min="16130" max="16130" width="10.5703125" style="57" customWidth="1"/>
    <col min="16131" max="16131" width="7.42578125" style="57" customWidth="1"/>
    <col min="16132" max="16132" width="7.5703125" style="57" customWidth="1"/>
    <col min="16133" max="16133" width="6.28515625" style="57" customWidth="1"/>
    <col min="16134" max="16134" width="6" style="57" customWidth="1"/>
    <col min="16135" max="16135" width="6.42578125" style="57" customWidth="1"/>
    <col min="16136" max="16138" width="7.42578125" style="57" customWidth="1"/>
    <col min="16139" max="16139" width="6.85546875" style="57" customWidth="1"/>
    <col min="16140" max="16140" width="7" style="57" customWidth="1"/>
    <col min="16141" max="16141" width="6.5703125" style="57" customWidth="1"/>
    <col min="16142" max="16142" width="6.7109375" style="57" customWidth="1"/>
    <col min="16143" max="16144" width="6.5703125" style="57" customWidth="1"/>
    <col min="16145" max="16145" width="6.85546875" style="57" customWidth="1"/>
    <col min="16146" max="16146" width="6.7109375" style="57" customWidth="1"/>
    <col min="16147" max="16147" width="4.7109375" style="57" customWidth="1"/>
    <col min="16148" max="16148" width="4.42578125" style="57" customWidth="1"/>
    <col min="16149" max="16149" width="5.28515625" style="57" customWidth="1"/>
    <col min="16150" max="16151" width="4.5703125" style="57" customWidth="1"/>
    <col min="16152" max="16152" width="5" style="57" customWidth="1"/>
    <col min="16153" max="16153" width="5.42578125" style="57" customWidth="1"/>
    <col min="16154" max="16154" width="4.7109375" style="57" customWidth="1"/>
    <col min="16155" max="16384" width="9.140625" style="57"/>
  </cols>
  <sheetData>
    <row r="1" spans="1:26" ht="15.75" x14ac:dyDescent="0.25">
      <c r="R1" s="249" t="s">
        <v>568</v>
      </c>
      <c r="S1" s="249"/>
      <c r="T1" s="249"/>
      <c r="U1" s="249"/>
      <c r="V1" s="249"/>
      <c r="W1" s="249"/>
      <c r="X1" s="249"/>
      <c r="Y1" s="249"/>
      <c r="Z1" s="249"/>
    </row>
    <row r="2" spans="1:26" ht="12.75" customHeight="1" x14ac:dyDescent="0.25"/>
    <row r="3" spans="1:26" s="181" customFormat="1" ht="14.25" customHeight="1" x14ac:dyDescent="0.2">
      <c r="A3" s="250" t="s">
        <v>490</v>
      </c>
      <c r="B3" s="250"/>
      <c r="C3" s="250"/>
      <c r="D3" s="250"/>
      <c r="E3" s="250"/>
      <c r="F3" s="250"/>
      <c r="G3" s="250"/>
      <c r="H3" s="250"/>
      <c r="I3" s="250"/>
      <c r="J3" s="250"/>
      <c r="K3" s="250"/>
      <c r="L3" s="250"/>
      <c r="M3" s="250"/>
      <c r="N3" s="250"/>
      <c r="O3" s="250"/>
      <c r="P3" s="250"/>
      <c r="Q3" s="250"/>
      <c r="R3" s="250"/>
      <c r="S3" s="250"/>
      <c r="T3" s="250"/>
      <c r="U3" s="250"/>
      <c r="V3" s="250"/>
      <c r="W3" s="250"/>
      <c r="X3" s="250"/>
      <c r="Y3" s="250"/>
      <c r="Z3" s="250"/>
    </row>
    <row r="4" spans="1:26" s="181" customFormat="1" ht="15.75" customHeight="1" x14ac:dyDescent="0.2">
      <c r="A4" s="251" t="s">
        <v>584</v>
      </c>
      <c r="B4" s="251"/>
      <c r="C4" s="251"/>
      <c r="D4" s="251"/>
      <c r="E4" s="251"/>
      <c r="F4" s="251"/>
      <c r="G4" s="251"/>
      <c r="H4" s="251"/>
      <c r="I4" s="251"/>
      <c r="J4" s="251"/>
      <c r="K4" s="251"/>
      <c r="L4" s="251"/>
      <c r="M4" s="251"/>
      <c r="N4" s="251"/>
      <c r="O4" s="251"/>
      <c r="P4" s="251"/>
      <c r="Q4" s="251"/>
      <c r="R4" s="251"/>
      <c r="S4" s="251"/>
      <c r="T4" s="251"/>
      <c r="U4" s="251"/>
      <c r="V4" s="251"/>
      <c r="W4" s="251"/>
      <c r="X4" s="251"/>
      <c r="Y4" s="251"/>
      <c r="Z4" s="251"/>
    </row>
    <row r="5" spans="1:26" s="181" customFormat="1" ht="11.25" x14ac:dyDescent="0.2">
      <c r="A5" s="182"/>
      <c r="B5" s="182"/>
      <c r="C5" s="182"/>
      <c r="D5" s="182"/>
      <c r="E5" s="182"/>
      <c r="F5" s="182"/>
      <c r="G5" s="182"/>
      <c r="H5" s="182"/>
      <c r="I5" s="182"/>
      <c r="J5" s="182"/>
      <c r="K5" s="182"/>
      <c r="L5" s="182"/>
      <c r="M5" s="182"/>
      <c r="N5" s="182"/>
      <c r="O5" s="182"/>
      <c r="P5" s="182"/>
      <c r="Q5" s="182"/>
      <c r="R5" s="182"/>
      <c r="S5" s="182"/>
      <c r="T5" s="182"/>
      <c r="U5" s="182"/>
      <c r="V5" s="182"/>
      <c r="W5" s="182"/>
      <c r="X5" s="182"/>
      <c r="Y5" s="182"/>
      <c r="Z5" s="182"/>
    </row>
    <row r="6" spans="1:26" s="181" customFormat="1" ht="11.25" x14ac:dyDescent="0.2">
      <c r="W6" s="258" t="s">
        <v>556</v>
      </c>
      <c r="X6" s="258"/>
      <c r="Y6" s="258"/>
      <c r="Z6" s="258"/>
    </row>
    <row r="7" spans="1:26" s="181" customFormat="1" ht="15" customHeight="1" x14ac:dyDescent="0.2">
      <c r="A7" s="252" t="s">
        <v>557</v>
      </c>
      <c r="B7" s="252" t="s">
        <v>455</v>
      </c>
      <c r="C7" s="255" t="s">
        <v>491</v>
      </c>
      <c r="D7" s="256"/>
      <c r="E7" s="256"/>
      <c r="F7" s="256"/>
      <c r="G7" s="256"/>
      <c r="H7" s="256"/>
      <c r="I7" s="256"/>
      <c r="J7" s="257"/>
      <c r="K7" s="255" t="s">
        <v>132</v>
      </c>
      <c r="L7" s="256"/>
      <c r="M7" s="256"/>
      <c r="N7" s="256"/>
      <c r="O7" s="256"/>
      <c r="P7" s="256"/>
      <c r="Q7" s="256"/>
      <c r="R7" s="257"/>
      <c r="S7" s="255" t="s">
        <v>156</v>
      </c>
      <c r="T7" s="256"/>
      <c r="U7" s="256"/>
      <c r="V7" s="256"/>
      <c r="W7" s="256"/>
      <c r="X7" s="256"/>
      <c r="Y7" s="256"/>
      <c r="Z7" s="257"/>
    </row>
    <row r="8" spans="1:26" s="181" customFormat="1" ht="15" customHeight="1" x14ac:dyDescent="0.2">
      <c r="A8" s="253"/>
      <c r="B8" s="253"/>
      <c r="C8" s="252" t="s">
        <v>24</v>
      </c>
      <c r="D8" s="252" t="s">
        <v>137</v>
      </c>
      <c r="E8" s="255" t="s">
        <v>138</v>
      </c>
      <c r="F8" s="256"/>
      <c r="G8" s="256"/>
      <c r="H8" s="256"/>
      <c r="I8" s="256"/>
      <c r="J8" s="257"/>
      <c r="K8" s="252" t="s">
        <v>24</v>
      </c>
      <c r="L8" s="252" t="s">
        <v>137</v>
      </c>
      <c r="M8" s="255" t="s">
        <v>138</v>
      </c>
      <c r="N8" s="256"/>
      <c r="O8" s="256"/>
      <c r="P8" s="256"/>
      <c r="Q8" s="256"/>
      <c r="R8" s="257"/>
      <c r="S8" s="252" t="s">
        <v>24</v>
      </c>
      <c r="T8" s="252" t="s">
        <v>137</v>
      </c>
      <c r="U8" s="255" t="s">
        <v>138</v>
      </c>
      <c r="V8" s="256"/>
      <c r="W8" s="256"/>
      <c r="X8" s="256"/>
      <c r="Y8" s="256"/>
      <c r="Z8" s="257"/>
    </row>
    <row r="9" spans="1:26" s="181" customFormat="1" ht="14.25" customHeight="1" x14ac:dyDescent="0.2">
      <c r="A9" s="253"/>
      <c r="B9" s="253"/>
      <c r="C9" s="253"/>
      <c r="D9" s="253"/>
      <c r="E9" s="252" t="s">
        <v>24</v>
      </c>
      <c r="F9" s="255" t="s">
        <v>157</v>
      </c>
      <c r="G9" s="257"/>
      <c r="H9" s="252" t="s">
        <v>158</v>
      </c>
      <c r="I9" s="252" t="s">
        <v>159</v>
      </c>
      <c r="J9" s="252" t="s">
        <v>160</v>
      </c>
      <c r="K9" s="253"/>
      <c r="L9" s="253"/>
      <c r="M9" s="252" t="s">
        <v>24</v>
      </c>
      <c r="N9" s="255" t="s">
        <v>157</v>
      </c>
      <c r="O9" s="257"/>
      <c r="P9" s="252" t="s">
        <v>158</v>
      </c>
      <c r="Q9" s="252" t="s">
        <v>159</v>
      </c>
      <c r="R9" s="252" t="s">
        <v>160</v>
      </c>
      <c r="S9" s="253"/>
      <c r="T9" s="253"/>
      <c r="U9" s="252" t="s">
        <v>24</v>
      </c>
      <c r="V9" s="255" t="s">
        <v>157</v>
      </c>
      <c r="W9" s="257"/>
      <c r="X9" s="252" t="s">
        <v>158</v>
      </c>
      <c r="Y9" s="252" t="s">
        <v>159</v>
      </c>
      <c r="Z9" s="252" t="s">
        <v>160</v>
      </c>
    </row>
    <row r="10" spans="1:26" s="181" customFormat="1" ht="93" customHeight="1" x14ac:dyDescent="0.2">
      <c r="A10" s="254"/>
      <c r="B10" s="254"/>
      <c r="C10" s="254"/>
      <c r="D10" s="254"/>
      <c r="E10" s="254"/>
      <c r="F10" s="92" t="s">
        <v>129</v>
      </c>
      <c r="G10" s="92" t="s">
        <v>27</v>
      </c>
      <c r="H10" s="254"/>
      <c r="I10" s="254"/>
      <c r="J10" s="254"/>
      <c r="K10" s="254"/>
      <c r="L10" s="254"/>
      <c r="M10" s="254"/>
      <c r="N10" s="92" t="s">
        <v>129</v>
      </c>
      <c r="O10" s="92" t="s">
        <v>27</v>
      </c>
      <c r="P10" s="254"/>
      <c r="Q10" s="254"/>
      <c r="R10" s="254"/>
      <c r="S10" s="254"/>
      <c r="T10" s="254"/>
      <c r="U10" s="254"/>
      <c r="V10" s="92" t="s">
        <v>129</v>
      </c>
      <c r="W10" s="92" t="s">
        <v>27</v>
      </c>
      <c r="X10" s="254"/>
      <c r="Y10" s="254"/>
      <c r="Z10" s="254"/>
    </row>
    <row r="11" spans="1:26" s="181" customFormat="1" ht="23.25" customHeight="1" x14ac:dyDescent="0.2">
      <c r="A11" s="92" t="s">
        <v>2</v>
      </c>
      <c r="B11" s="92" t="s">
        <v>3</v>
      </c>
      <c r="C11" s="92">
        <v>1</v>
      </c>
      <c r="D11" s="92">
        <v>2</v>
      </c>
      <c r="E11" s="92" t="s">
        <v>161</v>
      </c>
      <c r="F11" s="92">
        <v>4</v>
      </c>
      <c r="G11" s="92">
        <v>5</v>
      </c>
      <c r="H11" s="92">
        <v>6</v>
      </c>
      <c r="I11" s="92">
        <v>7</v>
      </c>
      <c r="J11" s="92">
        <v>8</v>
      </c>
      <c r="K11" s="92">
        <v>9</v>
      </c>
      <c r="L11" s="92">
        <v>10</v>
      </c>
      <c r="M11" s="92" t="s">
        <v>162</v>
      </c>
      <c r="N11" s="92">
        <v>12</v>
      </c>
      <c r="O11" s="92">
        <v>13</v>
      </c>
      <c r="P11" s="92">
        <v>14</v>
      </c>
      <c r="Q11" s="92">
        <v>15</v>
      </c>
      <c r="R11" s="92">
        <v>16</v>
      </c>
      <c r="S11" s="92" t="s">
        <v>163</v>
      </c>
      <c r="T11" s="92" t="s">
        <v>558</v>
      </c>
      <c r="U11" s="92" t="s">
        <v>164</v>
      </c>
      <c r="V11" s="92" t="s">
        <v>165</v>
      </c>
      <c r="W11" s="92" t="s">
        <v>166</v>
      </c>
      <c r="X11" s="92" t="s">
        <v>167</v>
      </c>
      <c r="Y11" s="92" t="s">
        <v>168</v>
      </c>
      <c r="Z11" s="92" t="s">
        <v>169</v>
      </c>
    </row>
    <row r="12" spans="1:26" s="183" customFormat="1" ht="18.75" customHeight="1" x14ac:dyDescent="0.15">
      <c r="A12" s="58"/>
      <c r="B12" s="92" t="s">
        <v>25</v>
      </c>
      <c r="C12" s="58">
        <f t="shared" ref="C12:R12" si="0">SUM(C13:C22)</f>
        <v>3520133</v>
      </c>
      <c r="D12" s="58">
        <f t="shared" si="0"/>
        <v>2459120</v>
      </c>
      <c r="E12" s="58">
        <f t="shared" si="0"/>
        <v>1061013</v>
      </c>
      <c r="F12" s="58">
        <f t="shared" si="0"/>
        <v>0</v>
      </c>
      <c r="G12" s="58">
        <f t="shared" si="0"/>
        <v>1061013</v>
      </c>
      <c r="H12" s="58">
        <f>SUM(H13:H22)</f>
        <v>174279</v>
      </c>
      <c r="I12" s="58">
        <f>SUM(I13:I22)</f>
        <v>704820</v>
      </c>
      <c r="J12" s="58">
        <f>SUM(J13:J22)</f>
        <v>181914</v>
      </c>
      <c r="K12" s="58">
        <f t="shared" si="0"/>
        <v>3520133</v>
      </c>
      <c r="L12" s="58">
        <f t="shared" si="0"/>
        <v>2459120</v>
      </c>
      <c r="M12" s="58">
        <f t="shared" si="0"/>
        <v>1061013</v>
      </c>
      <c r="N12" s="58">
        <f t="shared" si="0"/>
        <v>0</v>
      </c>
      <c r="O12" s="58">
        <f t="shared" si="0"/>
        <v>1061013</v>
      </c>
      <c r="P12" s="58">
        <f t="shared" si="0"/>
        <v>174279</v>
      </c>
      <c r="Q12" s="58">
        <f t="shared" si="0"/>
        <v>704820</v>
      </c>
      <c r="R12" s="58">
        <f t="shared" si="0"/>
        <v>181914</v>
      </c>
      <c r="S12" s="58">
        <f>K12/C12*100</f>
        <v>100</v>
      </c>
      <c r="T12" s="58">
        <f>L12/D12*100</f>
        <v>100</v>
      </c>
      <c r="U12" s="58">
        <f>M12/E12*100</f>
        <v>100</v>
      </c>
      <c r="V12" s="58"/>
      <c r="W12" s="58">
        <f>O12/G12*100</f>
        <v>100</v>
      </c>
      <c r="X12" s="58">
        <f>P12/H12*100</f>
        <v>100</v>
      </c>
      <c r="Y12" s="58">
        <f>Q12/I12*100</f>
        <v>100</v>
      </c>
      <c r="Z12" s="58">
        <f>R12/J12*100</f>
        <v>100</v>
      </c>
    </row>
    <row r="13" spans="1:26" s="181" customFormat="1" ht="18" customHeight="1" x14ac:dyDescent="0.2">
      <c r="A13" s="59">
        <v>1</v>
      </c>
      <c r="B13" s="60" t="s">
        <v>456</v>
      </c>
      <c r="C13" s="61">
        <f>D13+E13</f>
        <v>80181</v>
      </c>
      <c r="D13" s="61"/>
      <c r="E13" s="61">
        <f>SUM(F13:G13)</f>
        <v>80181</v>
      </c>
      <c r="F13" s="61">
        <v>0</v>
      </c>
      <c r="G13" s="61">
        <f>H13+I13+J13</f>
        <v>80181</v>
      </c>
      <c r="H13" s="93">
        <v>11121</v>
      </c>
      <c r="I13" s="93">
        <v>64445</v>
      </c>
      <c r="J13" s="94">
        <v>4615</v>
      </c>
      <c r="K13" s="93">
        <f>L13+M13</f>
        <v>80181</v>
      </c>
      <c r="L13" s="93"/>
      <c r="M13" s="93">
        <f>SUM(N13:O13)</f>
        <v>80181</v>
      </c>
      <c r="N13" s="61">
        <v>0</v>
      </c>
      <c r="O13" s="61">
        <f>P13+Q13+R13</f>
        <v>80181</v>
      </c>
      <c r="P13" s="61">
        <v>11121</v>
      </c>
      <c r="Q13" s="61">
        <v>64445</v>
      </c>
      <c r="R13" s="61">
        <v>4615</v>
      </c>
      <c r="S13" s="61">
        <f t="shared" ref="S13:Z22" si="1">K13/C13*100</f>
        <v>100</v>
      </c>
      <c r="T13" s="61"/>
      <c r="U13" s="61">
        <f>M13/E13*100</f>
        <v>100</v>
      </c>
      <c r="V13" s="61"/>
      <c r="W13" s="61">
        <f t="shared" si="1"/>
        <v>100</v>
      </c>
      <c r="X13" s="61">
        <f>P13/H13*100</f>
        <v>100</v>
      </c>
      <c r="Y13" s="61">
        <f t="shared" si="1"/>
        <v>100</v>
      </c>
      <c r="Z13" s="61">
        <f t="shared" si="1"/>
        <v>100</v>
      </c>
    </row>
    <row r="14" spans="1:26" s="181" customFormat="1" ht="18" customHeight="1" x14ac:dyDescent="0.2">
      <c r="A14" s="59">
        <v>2</v>
      </c>
      <c r="B14" s="60" t="s">
        <v>255</v>
      </c>
      <c r="C14" s="61">
        <f t="shared" ref="C14:C22" si="2">D14+E14</f>
        <v>345849</v>
      </c>
      <c r="D14" s="61">
        <v>262425</v>
      </c>
      <c r="E14" s="61">
        <f t="shared" ref="E14:E22" si="3">SUM(F14:G14)</f>
        <v>83424</v>
      </c>
      <c r="F14" s="61">
        <v>0</v>
      </c>
      <c r="G14" s="61">
        <f t="shared" ref="G14:G22" si="4">H14+I14+J14</f>
        <v>83424</v>
      </c>
      <c r="H14" s="93">
        <v>9250</v>
      </c>
      <c r="I14" s="93">
        <v>57827</v>
      </c>
      <c r="J14" s="94">
        <v>16347</v>
      </c>
      <c r="K14" s="93">
        <f t="shared" ref="K14:K22" si="5">L14+M14</f>
        <v>345849</v>
      </c>
      <c r="L14" s="93">
        <v>262425</v>
      </c>
      <c r="M14" s="93">
        <f t="shared" ref="M14:M22" si="6">SUM(N14:O14)</f>
        <v>83424</v>
      </c>
      <c r="N14" s="61">
        <v>0</v>
      </c>
      <c r="O14" s="61">
        <f t="shared" ref="O14:O22" si="7">P14+Q14+R14</f>
        <v>83424</v>
      </c>
      <c r="P14" s="61">
        <v>9250</v>
      </c>
      <c r="Q14" s="61">
        <v>57827</v>
      </c>
      <c r="R14" s="61">
        <v>16347</v>
      </c>
      <c r="S14" s="61">
        <f t="shared" si="1"/>
        <v>100</v>
      </c>
      <c r="T14" s="61">
        <f t="shared" si="1"/>
        <v>100</v>
      </c>
      <c r="U14" s="61">
        <f t="shared" si="1"/>
        <v>100</v>
      </c>
      <c r="V14" s="61"/>
      <c r="W14" s="61">
        <f t="shared" si="1"/>
        <v>100</v>
      </c>
      <c r="X14" s="61">
        <f t="shared" si="1"/>
        <v>100</v>
      </c>
      <c r="Y14" s="61">
        <f t="shared" si="1"/>
        <v>100</v>
      </c>
      <c r="Z14" s="61">
        <f t="shared" si="1"/>
        <v>100</v>
      </c>
    </row>
    <row r="15" spans="1:26" s="181" customFormat="1" ht="18" customHeight="1" x14ac:dyDescent="0.2">
      <c r="A15" s="59">
        <v>3</v>
      </c>
      <c r="B15" s="60" t="s">
        <v>256</v>
      </c>
      <c r="C15" s="61">
        <f t="shared" si="2"/>
        <v>509559</v>
      </c>
      <c r="D15" s="61">
        <v>370600</v>
      </c>
      <c r="E15" s="61">
        <f t="shared" si="3"/>
        <v>138959</v>
      </c>
      <c r="F15" s="61">
        <v>0</v>
      </c>
      <c r="G15" s="61">
        <f t="shared" si="4"/>
        <v>138959</v>
      </c>
      <c r="H15" s="93">
        <v>16260</v>
      </c>
      <c r="I15" s="93">
        <v>90370</v>
      </c>
      <c r="J15" s="94">
        <v>32329</v>
      </c>
      <c r="K15" s="93">
        <f t="shared" si="5"/>
        <v>509559</v>
      </c>
      <c r="L15" s="93">
        <v>370600</v>
      </c>
      <c r="M15" s="93">
        <f t="shared" si="6"/>
        <v>138959</v>
      </c>
      <c r="N15" s="61">
        <v>0</v>
      </c>
      <c r="O15" s="61">
        <f t="shared" si="7"/>
        <v>138959</v>
      </c>
      <c r="P15" s="61">
        <v>16260</v>
      </c>
      <c r="Q15" s="61">
        <v>90370</v>
      </c>
      <c r="R15" s="61">
        <v>32329</v>
      </c>
      <c r="S15" s="61">
        <f t="shared" si="1"/>
        <v>100</v>
      </c>
      <c r="T15" s="61">
        <f t="shared" si="1"/>
        <v>100</v>
      </c>
      <c r="U15" s="61">
        <f t="shared" si="1"/>
        <v>100</v>
      </c>
      <c r="V15" s="61"/>
      <c r="W15" s="61">
        <f t="shared" si="1"/>
        <v>100</v>
      </c>
      <c r="X15" s="61">
        <f t="shared" si="1"/>
        <v>100</v>
      </c>
      <c r="Y15" s="61">
        <f t="shared" si="1"/>
        <v>100</v>
      </c>
      <c r="Z15" s="61">
        <f t="shared" si="1"/>
        <v>100</v>
      </c>
    </row>
    <row r="16" spans="1:26" s="181" customFormat="1" ht="18" customHeight="1" x14ac:dyDescent="0.2">
      <c r="A16" s="59">
        <v>4</v>
      </c>
      <c r="B16" s="60" t="s">
        <v>257</v>
      </c>
      <c r="C16" s="61">
        <f t="shared" si="2"/>
        <v>476592</v>
      </c>
      <c r="D16" s="61">
        <v>319991</v>
      </c>
      <c r="E16" s="61">
        <f t="shared" si="3"/>
        <v>156601</v>
      </c>
      <c r="F16" s="61">
        <v>0</v>
      </c>
      <c r="G16" s="61">
        <f t="shared" si="4"/>
        <v>156601</v>
      </c>
      <c r="H16" s="93">
        <v>29361</v>
      </c>
      <c r="I16" s="93">
        <v>97203</v>
      </c>
      <c r="J16" s="94">
        <v>30037</v>
      </c>
      <c r="K16" s="93">
        <f t="shared" si="5"/>
        <v>476592</v>
      </c>
      <c r="L16" s="93">
        <v>319991</v>
      </c>
      <c r="M16" s="93">
        <f>N16+O16</f>
        <v>156601</v>
      </c>
      <c r="N16" s="61">
        <v>0</v>
      </c>
      <c r="O16" s="61">
        <f t="shared" si="7"/>
        <v>156601</v>
      </c>
      <c r="P16" s="61">
        <v>29361</v>
      </c>
      <c r="Q16" s="61">
        <v>97203</v>
      </c>
      <c r="R16" s="61">
        <v>30037</v>
      </c>
      <c r="S16" s="61">
        <f t="shared" si="1"/>
        <v>100</v>
      </c>
      <c r="T16" s="61">
        <f t="shared" si="1"/>
        <v>100</v>
      </c>
      <c r="U16" s="61">
        <f t="shared" si="1"/>
        <v>100</v>
      </c>
      <c r="V16" s="61"/>
      <c r="W16" s="61">
        <f t="shared" si="1"/>
        <v>100</v>
      </c>
      <c r="X16" s="61">
        <f t="shared" si="1"/>
        <v>100</v>
      </c>
      <c r="Y16" s="61">
        <f t="shared" si="1"/>
        <v>100</v>
      </c>
      <c r="Z16" s="61">
        <f t="shared" si="1"/>
        <v>100</v>
      </c>
    </row>
    <row r="17" spans="1:26" s="181" customFormat="1" ht="18" customHeight="1" x14ac:dyDescent="0.2">
      <c r="A17" s="59">
        <v>5</v>
      </c>
      <c r="B17" s="60" t="s">
        <v>258</v>
      </c>
      <c r="C17" s="61">
        <f t="shared" si="2"/>
        <v>353944</v>
      </c>
      <c r="D17" s="61">
        <v>244185</v>
      </c>
      <c r="E17" s="61">
        <f t="shared" si="3"/>
        <v>109759</v>
      </c>
      <c r="F17" s="61">
        <v>0</v>
      </c>
      <c r="G17" s="61">
        <f t="shared" si="4"/>
        <v>109759</v>
      </c>
      <c r="H17" s="93">
        <v>19990</v>
      </c>
      <c r="I17" s="93">
        <v>64138</v>
      </c>
      <c r="J17" s="94">
        <v>25631</v>
      </c>
      <c r="K17" s="93">
        <f t="shared" si="5"/>
        <v>353944</v>
      </c>
      <c r="L17" s="93">
        <v>244185</v>
      </c>
      <c r="M17" s="93">
        <f t="shared" si="6"/>
        <v>109759</v>
      </c>
      <c r="N17" s="61"/>
      <c r="O17" s="61">
        <f t="shared" si="7"/>
        <v>109759</v>
      </c>
      <c r="P17" s="61">
        <v>19990</v>
      </c>
      <c r="Q17" s="61">
        <v>64138</v>
      </c>
      <c r="R17" s="61">
        <v>25631</v>
      </c>
      <c r="S17" s="61">
        <f t="shared" si="1"/>
        <v>100</v>
      </c>
      <c r="T17" s="61">
        <f t="shared" si="1"/>
        <v>100</v>
      </c>
      <c r="U17" s="61">
        <f t="shared" si="1"/>
        <v>100</v>
      </c>
      <c r="V17" s="61"/>
      <c r="W17" s="61">
        <f t="shared" si="1"/>
        <v>100</v>
      </c>
      <c r="X17" s="61">
        <f t="shared" si="1"/>
        <v>100</v>
      </c>
      <c r="Y17" s="61">
        <f t="shared" si="1"/>
        <v>100</v>
      </c>
      <c r="Z17" s="61">
        <f t="shared" si="1"/>
        <v>100</v>
      </c>
    </row>
    <row r="18" spans="1:26" s="181" customFormat="1" ht="18" customHeight="1" x14ac:dyDescent="0.2">
      <c r="A18" s="59">
        <v>6</v>
      </c>
      <c r="B18" s="60" t="s">
        <v>259</v>
      </c>
      <c r="C18" s="61">
        <f t="shared" si="2"/>
        <v>287618</v>
      </c>
      <c r="D18" s="61">
        <v>205236</v>
      </c>
      <c r="E18" s="61">
        <f t="shared" si="3"/>
        <v>82382</v>
      </c>
      <c r="F18" s="61">
        <v>0</v>
      </c>
      <c r="G18" s="61">
        <f t="shared" si="4"/>
        <v>82382</v>
      </c>
      <c r="H18" s="93">
        <v>22600</v>
      </c>
      <c r="I18" s="93">
        <v>54687</v>
      </c>
      <c r="J18" s="94">
        <v>5095</v>
      </c>
      <c r="K18" s="93">
        <f t="shared" si="5"/>
        <v>287618</v>
      </c>
      <c r="L18" s="93">
        <v>205236</v>
      </c>
      <c r="M18" s="93">
        <f t="shared" si="6"/>
        <v>82382</v>
      </c>
      <c r="N18" s="61">
        <v>0</v>
      </c>
      <c r="O18" s="61">
        <f t="shared" si="7"/>
        <v>82382</v>
      </c>
      <c r="P18" s="61">
        <v>22600</v>
      </c>
      <c r="Q18" s="61">
        <v>54687</v>
      </c>
      <c r="R18" s="61">
        <v>5095</v>
      </c>
      <c r="S18" s="61">
        <f t="shared" si="1"/>
        <v>100</v>
      </c>
      <c r="T18" s="61">
        <f t="shared" si="1"/>
        <v>100</v>
      </c>
      <c r="U18" s="61">
        <f t="shared" si="1"/>
        <v>100</v>
      </c>
      <c r="V18" s="61"/>
      <c r="W18" s="61">
        <f t="shared" si="1"/>
        <v>100</v>
      </c>
      <c r="X18" s="61">
        <f t="shared" si="1"/>
        <v>100</v>
      </c>
      <c r="Y18" s="61">
        <f t="shared" si="1"/>
        <v>100</v>
      </c>
      <c r="Z18" s="61">
        <f t="shared" si="1"/>
        <v>100</v>
      </c>
    </row>
    <row r="19" spans="1:26" s="181" customFormat="1" ht="18" customHeight="1" x14ac:dyDescent="0.2">
      <c r="A19" s="59">
        <v>7</v>
      </c>
      <c r="B19" s="60" t="s">
        <v>260</v>
      </c>
      <c r="C19" s="61">
        <f t="shared" si="2"/>
        <v>308655</v>
      </c>
      <c r="D19" s="61">
        <v>203992</v>
      </c>
      <c r="E19" s="61">
        <f t="shared" si="3"/>
        <v>104663</v>
      </c>
      <c r="F19" s="61">
        <v>0</v>
      </c>
      <c r="G19" s="61">
        <f t="shared" si="4"/>
        <v>104663</v>
      </c>
      <c r="H19" s="93">
        <v>15420</v>
      </c>
      <c r="I19" s="93">
        <v>66692</v>
      </c>
      <c r="J19" s="94">
        <v>22551</v>
      </c>
      <c r="K19" s="93">
        <f t="shared" si="5"/>
        <v>308655</v>
      </c>
      <c r="L19" s="93">
        <v>203992</v>
      </c>
      <c r="M19" s="93">
        <f t="shared" si="6"/>
        <v>104663</v>
      </c>
      <c r="N19" s="61">
        <v>0</v>
      </c>
      <c r="O19" s="61">
        <f t="shared" si="7"/>
        <v>104663</v>
      </c>
      <c r="P19" s="61">
        <v>15420</v>
      </c>
      <c r="Q19" s="61">
        <v>66692</v>
      </c>
      <c r="R19" s="61">
        <v>22551</v>
      </c>
      <c r="S19" s="61">
        <f t="shared" si="1"/>
        <v>100</v>
      </c>
      <c r="T19" s="61">
        <f t="shared" si="1"/>
        <v>100</v>
      </c>
      <c r="U19" s="61">
        <f t="shared" si="1"/>
        <v>100</v>
      </c>
      <c r="V19" s="61"/>
      <c r="W19" s="61">
        <f t="shared" si="1"/>
        <v>100</v>
      </c>
      <c r="X19" s="61">
        <f t="shared" si="1"/>
        <v>100</v>
      </c>
      <c r="Y19" s="61">
        <f t="shared" si="1"/>
        <v>100</v>
      </c>
      <c r="Z19" s="61">
        <f t="shared" si="1"/>
        <v>100</v>
      </c>
    </row>
    <row r="20" spans="1:26" s="181" customFormat="1" ht="18" customHeight="1" x14ac:dyDescent="0.2">
      <c r="A20" s="59">
        <v>8</v>
      </c>
      <c r="B20" s="60" t="s">
        <v>261</v>
      </c>
      <c r="C20" s="61">
        <f t="shared" si="2"/>
        <v>491559</v>
      </c>
      <c r="D20" s="61">
        <v>360624</v>
      </c>
      <c r="E20" s="61">
        <f t="shared" si="3"/>
        <v>130935</v>
      </c>
      <c r="F20" s="61">
        <v>0</v>
      </c>
      <c r="G20" s="61">
        <f t="shared" si="4"/>
        <v>130935</v>
      </c>
      <c r="H20" s="93">
        <v>23207</v>
      </c>
      <c r="I20" s="93">
        <v>85572</v>
      </c>
      <c r="J20" s="94">
        <v>22156</v>
      </c>
      <c r="K20" s="93">
        <f t="shared" si="5"/>
        <v>491559</v>
      </c>
      <c r="L20" s="93">
        <v>360624</v>
      </c>
      <c r="M20" s="93">
        <f t="shared" si="6"/>
        <v>130935</v>
      </c>
      <c r="N20" s="61">
        <v>0</v>
      </c>
      <c r="O20" s="61">
        <f t="shared" si="7"/>
        <v>130935</v>
      </c>
      <c r="P20" s="61">
        <v>23207</v>
      </c>
      <c r="Q20" s="61">
        <v>85572</v>
      </c>
      <c r="R20" s="61">
        <v>22156</v>
      </c>
      <c r="S20" s="61">
        <f t="shared" si="1"/>
        <v>100</v>
      </c>
      <c r="T20" s="61">
        <f t="shared" si="1"/>
        <v>100</v>
      </c>
      <c r="U20" s="61">
        <f t="shared" si="1"/>
        <v>100</v>
      </c>
      <c r="V20" s="61"/>
      <c r="W20" s="61">
        <f t="shared" si="1"/>
        <v>100</v>
      </c>
      <c r="X20" s="61">
        <f t="shared" si="1"/>
        <v>100</v>
      </c>
      <c r="Y20" s="61">
        <f t="shared" si="1"/>
        <v>100</v>
      </c>
      <c r="Z20" s="61">
        <f t="shared" si="1"/>
        <v>100</v>
      </c>
    </row>
    <row r="21" spans="1:26" s="181" customFormat="1" ht="18" customHeight="1" x14ac:dyDescent="0.2">
      <c r="A21" s="59">
        <v>9</v>
      </c>
      <c r="B21" s="60" t="s">
        <v>262</v>
      </c>
      <c r="C21" s="61">
        <f t="shared" si="2"/>
        <v>506921</v>
      </c>
      <c r="D21" s="61">
        <v>358916</v>
      </c>
      <c r="E21" s="61">
        <f t="shared" si="3"/>
        <v>148005</v>
      </c>
      <c r="F21" s="61">
        <v>0</v>
      </c>
      <c r="G21" s="61">
        <f t="shared" si="4"/>
        <v>148005</v>
      </c>
      <c r="H21" s="93">
        <v>22670</v>
      </c>
      <c r="I21" s="93">
        <v>105654</v>
      </c>
      <c r="J21" s="94">
        <v>19681</v>
      </c>
      <c r="K21" s="93">
        <f t="shared" si="5"/>
        <v>506921</v>
      </c>
      <c r="L21" s="93">
        <v>358916</v>
      </c>
      <c r="M21" s="93">
        <f t="shared" si="6"/>
        <v>148005</v>
      </c>
      <c r="N21" s="61">
        <v>0</v>
      </c>
      <c r="O21" s="61">
        <f t="shared" si="7"/>
        <v>148005</v>
      </c>
      <c r="P21" s="61">
        <v>22670</v>
      </c>
      <c r="Q21" s="61">
        <v>105654</v>
      </c>
      <c r="R21" s="61">
        <v>19681</v>
      </c>
      <c r="S21" s="61">
        <f t="shared" si="1"/>
        <v>100</v>
      </c>
      <c r="T21" s="61">
        <f t="shared" si="1"/>
        <v>100</v>
      </c>
      <c r="U21" s="61">
        <f t="shared" si="1"/>
        <v>100</v>
      </c>
      <c r="V21" s="61"/>
      <c r="W21" s="61">
        <f t="shared" si="1"/>
        <v>100</v>
      </c>
      <c r="X21" s="61">
        <f t="shared" si="1"/>
        <v>100</v>
      </c>
      <c r="Y21" s="61">
        <f t="shared" si="1"/>
        <v>100</v>
      </c>
      <c r="Z21" s="61">
        <f t="shared" si="1"/>
        <v>100</v>
      </c>
    </row>
    <row r="22" spans="1:26" s="181" customFormat="1" ht="18" customHeight="1" x14ac:dyDescent="0.2">
      <c r="A22" s="62">
        <v>10</v>
      </c>
      <c r="B22" s="60" t="s">
        <v>263</v>
      </c>
      <c r="C22" s="61">
        <f t="shared" si="2"/>
        <v>159255</v>
      </c>
      <c r="D22" s="61">
        <v>133151</v>
      </c>
      <c r="E22" s="61">
        <f t="shared" si="3"/>
        <v>26104</v>
      </c>
      <c r="F22" s="61">
        <v>0</v>
      </c>
      <c r="G22" s="61">
        <f t="shared" si="4"/>
        <v>26104</v>
      </c>
      <c r="H22" s="93">
        <v>4400</v>
      </c>
      <c r="I22" s="93">
        <v>18232</v>
      </c>
      <c r="J22" s="94">
        <v>3472</v>
      </c>
      <c r="K22" s="93">
        <f t="shared" si="5"/>
        <v>159255</v>
      </c>
      <c r="L22" s="93">
        <v>133151</v>
      </c>
      <c r="M22" s="93">
        <f t="shared" si="6"/>
        <v>26104</v>
      </c>
      <c r="N22" s="61">
        <v>0</v>
      </c>
      <c r="O22" s="61">
        <f t="shared" si="7"/>
        <v>26104</v>
      </c>
      <c r="P22" s="61">
        <v>4400</v>
      </c>
      <c r="Q22" s="61">
        <v>18232</v>
      </c>
      <c r="R22" s="61">
        <v>3472</v>
      </c>
      <c r="S22" s="61">
        <f t="shared" si="1"/>
        <v>100</v>
      </c>
      <c r="T22" s="61">
        <f t="shared" si="1"/>
        <v>100</v>
      </c>
      <c r="U22" s="61">
        <f t="shared" si="1"/>
        <v>100</v>
      </c>
      <c r="V22" s="61"/>
      <c r="W22" s="61">
        <f t="shared" si="1"/>
        <v>100</v>
      </c>
      <c r="X22" s="61">
        <f t="shared" si="1"/>
        <v>100</v>
      </c>
      <c r="Y22" s="61">
        <f t="shared" si="1"/>
        <v>100</v>
      </c>
      <c r="Z22" s="61">
        <f t="shared" si="1"/>
        <v>100</v>
      </c>
    </row>
    <row r="23" spans="1:26" x14ac:dyDescent="0.25">
      <c r="A23" s="63"/>
    </row>
  </sheetData>
  <mergeCells count="33">
    <mergeCell ref="W6:Z6"/>
    <mergeCell ref="Z9:Z10"/>
    <mergeCell ref="T8:T10"/>
    <mergeCell ref="U9:U10"/>
    <mergeCell ref="V9:W9"/>
    <mergeCell ref="X9:X10"/>
    <mergeCell ref="Y9:Y10"/>
    <mergeCell ref="K8:K10"/>
    <mergeCell ref="L8:L10"/>
    <mergeCell ref="M8:R8"/>
    <mergeCell ref="S8:S10"/>
    <mergeCell ref="J9:J10"/>
    <mergeCell ref="M9:M10"/>
    <mergeCell ref="N9:O9"/>
    <mergeCell ref="P9:P10"/>
    <mergeCell ref="Q9:Q10"/>
    <mergeCell ref="R9:R10"/>
    <mergeCell ref="R1:Z1"/>
    <mergeCell ref="A3:Z3"/>
    <mergeCell ref="A4:Z4"/>
    <mergeCell ref="A7:A10"/>
    <mergeCell ref="B7:B10"/>
    <mergeCell ref="C7:J7"/>
    <mergeCell ref="K7:R7"/>
    <mergeCell ref="S7:Z7"/>
    <mergeCell ref="C8:C10"/>
    <mergeCell ref="D8:D10"/>
    <mergeCell ref="U8:Z8"/>
    <mergeCell ref="E9:E10"/>
    <mergeCell ref="F9:G9"/>
    <mergeCell ref="H9:H10"/>
    <mergeCell ref="I9:I10"/>
    <mergeCell ref="E8:J8"/>
  </mergeCells>
  <pageMargins left="0.5" right="0.5" top="0.7" bottom="0.6" header="0.31496062992126" footer="0.31496062992126"/>
  <pageSetup paperSize="9" scale="80" orientation="landscape" r:id="rId1"/>
  <headerFooter>
    <oddHeader>&amp;RBiểu số 09</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25</vt:i4>
      </vt:variant>
    </vt:vector>
  </HeadingPairs>
  <TitlesOfParts>
    <vt:vector size="37" baseType="lpstr">
      <vt:lpstr>Bieu so 48</vt:lpstr>
      <vt:lpstr>Bieu so 49</vt:lpstr>
      <vt:lpstr>Bieu so 50</vt:lpstr>
      <vt:lpstr>Bieu so 51</vt:lpstr>
      <vt:lpstr>Bieu so 52</vt:lpstr>
      <vt:lpstr>Bieu so 53</vt:lpstr>
      <vt:lpstr>Bieu so 54</vt:lpstr>
      <vt:lpstr>Bieu so 58</vt:lpstr>
      <vt:lpstr>Bieu so 59</vt:lpstr>
      <vt:lpstr>Bieu so 60</vt:lpstr>
      <vt:lpstr>Bieu so 61</vt:lpstr>
      <vt:lpstr>Bieu so 64</vt:lpstr>
      <vt:lpstr>'Bieu so 48'!chuong_phuluc_48</vt:lpstr>
      <vt:lpstr>'Bieu so 48'!chuong_phuluc_48_name</vt:lpstr>
      <vt:lpstr>'Bieu so 49'!chuong_phuluc_49</vt:lpstr>
      <vt:lpstr>'Bieu so 49'!chuong_phuluc_49_name</vt:lpstr>
      <vt:lpstr>'Bieu so 50'!chuong_phuluc_50</vt:lpstr>
      <vt:lpstr>'Bieu so 50'!chuong_phuluc_50_name</vt:lpstr>
      <vt:lpstr>'Bieu so 51'!chuong_phuluc_51</vt:lpstr>
      <vt:lpstr>'Bieu so 51'!chuong_phuluc_51_name</vt:lpstr>
      <vt:lpstr>'Bieu so 52'!chuong_phuluc_52</vt:lpstr>
      <vt:lpstr>'Bieu so 52'!chuong_phuluc_52_name</vt:lpstr>
      <vt:lpstr>'Bieu so 53'!chuong_phuluc_53</vt:lpstr>
      <vt:lpstr>'Bieu so 53'!chuong_phuluc_53_name</vt:lpstr>
      <vt:lpstr>'Bieu so 54'!chuong_phuluc_54</vt:lpstr>
      <vt:lpstr>'Bieu so 54'!chuong_phuluc_54_name</vt:lpstr>
      <vt:lpstr>'Bieu so 58'!chuong_phuluc_58</vt:lpstr>
      <vt:lpstr>'Bieu so 58'!chuong_phuluc_58_name</vt:lpstr>
      <vt:lpstr>'Bieu so 60'!chuong_phuluc_60</vt:lpstr>
      <vt:lpstr>'Bieu so 60'!chuong_phuluc_60_name</vt:lpstr>
      <vt:lpstr>'Bieu so 61'!chuong_phuluc_61</vt:lpstr>
      <vt:lpstr>'Bieu so 61'!chuong_phuluc_61_name</vt:lpstr>
      <vt:lpstr>'Bieu so 50'!Print_Titles</vt:lpstr>
      <vt:lpstr>'Bieu so 51'!Print_Titles</vt:lpstr>
      <vt:lpstr>'Bieu so 53'!Print_Titles</vt:lpstr>
      <vt:lpstr>'Bieu so 54'!Print_Titles</vt:lpstr>
      <vt:lpstr>'Bieu so 61'!Print_Titles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dc:creator>
  <cp:lastModifiedBy>Admin</cp:lastModifiedBy>
  <cp:lastPrinted>2021-12-08T03:42:23Z</cp:lastPrinted>
  <dcterms:created xsi:type="dcterms:W3CDTF">2017-04-26T02:19:00Z</dcterms:created>
  <dcterms:modified xsi:type="dcterms:W3CDTF">2021-12-13T07:26:28Z</dcterms:modified>
</cp:coreProperties>
</file>